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itintellecap-my.sharepoint.com/personal/wambui_kuria_intellecap_net/Documents/Documents/Projects/2024/IDRC C4/"/>
    </mc:Choice>
  </mc:AlternateContent>
  <xr:revisionPtr revIDLastSave="0" documentId="8_{B59A061A-5D7C-403F-8411-C0DEA4327CF4}" xr6:coauthVersionLast="47" xr6:coauthVersionMax="47" xr10:uidLastSave="{00000000-0000-0000-0000-000000000000}"/>
  <bookViews>
    <workbookView xWindow="-110" yWindow="-110" windowWidth="19420" windowHeight="10300" tabRatio="500" xr2:uid="{00000000-000D-0000-FFFF-FFFF00000000}"/>
  </bookViews>
  <sheets>
    <sheet name="Cover Page" sheetId="1" r:id="rId1"/>
    <sheet name="1. How to Use" sheetId="2" r:id="rId2"/>
    <sheet name="2. Archetype Profiles" sheetId="3" r:id="rId3"/>
    <sheet name="3. Tool 01A Quick-Screen" sheetId="4" r:id="rId4"/>
    <sheet name="4. Tool 01B DD Checklist" sheetId="5" r:id="rId5"/>
    <sheet name="5. Tool 02 Instrument Matrix" sheetId="6" r:id="rId6"/>
    <sheet name="6. Tool 03 Enterprise Feedback" sheetId="7" r:id="rId7"/>
    <sheet name="A. Screen Engine (Ref)" sheetId="8" r:id="rId8"/>
    <sheet name="B. Stage Criteria (Ref)" sheetId="9" r:id="rId9"/>
    <sheet name="C. Instrument Library (Ref)" sheetId="10" r:id="rId10"/>
    <sheet name="D. Feedback Library (Ref)" sheetId="11" r:id="rId11"/>
    <sheet name="E. Returns, Exits &amp; Failures" sheetId="12" r:id="rId12"/>
    <sheet name="F. Benchmarks (Ref)" sheetId="13" r:id="rId13"/>
    <sheet name="Glossary" sheetId="14" r:id="rId14"/>
  </sheets>
  <externalReferences>
    <externalReference r:id="rId15"/>
  </externalReferenc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14" i="4" l="1"/>
  <c r="E20" i="4" s="1"/>
  <c r="E24" i="4"/>
  <c r="F24" i="4" s="1"/>
  <c r="E23" i="4"/>
  <c r="F23" i="4" s="1"/>
  <c r="E22" i="4"/>
  <c r="F22" i="4" s="1"/>
  <c r="E21" i="4"/>
  <c r="F21" i="4" s="1"/>
  <c r="C7" i="11"/>
  <c r="C12" i="11" s="1"/>
  <c r="E10" i="7"/>
  <c r="D15" i="4"/>
  <c r="F5" i="5"/>
  <c r="E5" i="5"/>
  <c r="C5" i="5"/>
  <c r="C6" i="8" l="1"/>
  <c r="C8" i="8" s="1"/>
  <c r="F20" i="4"/>
  <c r="F26" i="4" s="1"/>
  <c r="C9" i="8" s="1"/>
  <c r="C10" i="11"/>
  <c r="C9" i="11"/>
  <c r="C11" i="11"/>
  <c r="C8" i="11"/>
  <c r="C17" i="8" l="1"/>
  <c r="C22" i="8"/>
  <c r="D27" i="4"/>
  <c r="C7" i="8" s="1"/>
  <c r="C19" i="8" s="1"/>
  <c r="K4" i="5" l="1"/>
  <c r="C31" i="7"/>
  <c r="D10" i="7"/>
  <c r="C20" i="8"/>
  <c r="C18" i="8"/>
  <c r="D30" i="4"/>
  <c r="D28" i="4"/>
  <c r="F4" i="5"/>
  <c r="C7" i="6"/>
  <c r="C7" i="7"/>
  <c r="F6" i="6"/>
  <c r="B19" i="5" l="1"/>
  <c r="B26" i="5"/>
  <c r="B20" i="5"/>
  <c r="F10" i="7"/>
  <c r="K5" i="5"/>
  <c r="C21" i="8"/>
  <c r="C6" i="7"/>
  <c r="C4" i="5"/>
  <c r="C6" i="6"/>
  <c r="E7" i="5"/>
  <c r="G7" i="5"/>
  <c r="D7" i="5"/>
  <c r="F7" i="5"/>
  <c r="B6" i="5"/>
  <c r="C12" i="6"/>
  <c r="C14" i="6"/>
  <c r="C13" i="6"/>
  <c r="C15" i="6"/>
  <c r="B18" i="5"/>
  <c r="B30" i="7" s="1"/>
  <c r="B16" i="5"/>
  <c r="B28" i="7" s="1"/>
  <c r="C9" i="6"/>
  <c r="G5" i="5"/>
  <c r="C8" i="6"/>
  <c r="D20" i="7"/>
  <c r="D22" i="7"/>
  <c r="F21" i="7" l="1"/>
  <c r="F26" i="7"/>
  <c r="F28" i="7"/>
  <c r="E30" i="7"/>
  <c r="F20" i="7"/>
  <c r="F22" i="7"/>
  <c r="E29" i="7"/>
  <c r="F29" i="7"/>
  <c r="F30" i="7"/>
  <c r="D21" i="7"/>
  <c r="D24" i="7"/>
  <c r="B23" i="7"/>
  <c r="D26" i="7"/>
  <c r="B27" i="7"/>
  <c r="D30" i="7"/>
  <c r="D27" i="7"/>
  <c r="D28" i="7"/>
  <c r="D23" i="7"/>
  <c r="D25" i="7"/>
  <c r="D29" i="7"/>
  <c r="B14" i="5"/>
  <c r="B26" i="7" s="1"/>
  <c r="B10" i="5"/>
  <c r="B22" i="7" s="1"/>
  <c r="B8" i="5"/>
  <c r="B12" i="5"/>
  <c r="B17" i="5"/>
  <c r="B29" i="7" s="1"/>
  <c r="B15" i="5"/>
  <c r="B13" i="5"/>
  <c r="B25" i="7" s="1"/>
  <c r="B11" i="5"/>
  <c r="B9" i="5"/>
  <c r="B20" i="7"/>
  <c r="G9" i="5"/>
  <c r="H21" i="7" s="1"/>
  <c r="F9" i="5"/>
  <c r="E9" i="5"/>
  <c r="D9" i="5"/>
  <c r="E21" i="7" s="1"/>
  <c r="C9" i="5"/>
  <c r="C21" i="7" s="1"/>
  <c r="F15" i="5"/>
  <c r="E15" i="5"/>
  <c r="E27" i="7" s="1"/>
  <c r="G15" i="5"/>
  <c r="H27" i="7" s="1"/>
  <c r="D15" i="5"/>
  <c r="F27" i="7" s="1"/>
  <c r="C15" i="5"/>
  <c r="C27" i="7" s="1"/>
  <c r="F11" i="5"/>
  <c r="G11" i="5"/>
  <c r="H23" i="7" s="1"/>
  <c r="E11" i="5"/>
  <c r="E23" i="7" s="1"/>
  <c r="D11" i="5"/>
  <c r="F23" i="7" s="1"/>
  <c r="C11" i="5"/>
  <c r="C23" i="7" s="1"/>
  <c r="E8" i="5"/>
  <c r="G8" i="5"/>
  <c r="H20" i="7" s="1"/>
  <c r="D8" i="5"/>
  <c r="E20" i="7" s="1"/>
  <c r="C8" i="5"/>
  <c r="C20" i="7" s="1"/>
  <c r="E22" i="5"/>
  <c r="G22" i="5"/>
  <c r="F8" i="5"/>
  <c r="D22" i="5"/>
  <c r="B21" i="7"/>
  <c r="G17" i="5"/>
  <c r="H29" i="7" s="1"/>
  <c r="E17" i="5"/>
  <c r="F17" i="5"/>
  <c r="D17" i="5"/>
  <c r="C17" i="5"/>
  <c r="C29" i="7" s="1"/>
  <c r="E10" i="5"/>
  <c r="G10" i="5"/>
  <c r="H22" i="7" s="1"/>
  <c r="D10" i="5"/>
  <c r="E22" i="7" s="1"/>
  <c r="C10" i="5"/>
  <c r="C22" i="7" s="1"/>
  <c r="F10" i="5"/>
  <c r="F13" i="5"/>
  <c r="E13" i="5"/>
  <c r="E25" i="7" s="1"/>
  <c r="G13" i="5"/>
  <c r="H25" i="7" s="1"/>
  <c r="D13" i="5"/>
  <c r="F25" i="7" s="1"/>
  <c r="C13" i="5"/>
  <c r="C25" i="7" s="1"/>
  <c r="E12" i="5"/>
  <c r="G12" i="5"/>
  <c r="H24" i="7" s="1"/>
  <c r="D12" i="5"/>
  <c r="F24" i="7" s="1"/>
  <c r="C12" i="5"/>
  <c r="C24" i="7" s="1"/>
  <c r="F12" i="5"/>
  <c r="E24" i="7" s="1"/>
  <c r="E14" i="5"/>
  <c r="G14" i="5"/>
  <c r="H26" i="7" s="1"/>
  <c r="D14" i="5"/>
  <c r="E26" i="7" s="1"/>
  <c r="C14" i="5"/>
  <c r="C26" i="7" s="1"/>
  <c r="F14" i="5"/>
  <c r="E16" i="5"/>
  <c r="G16" i="5"/>
  <c r="H28" i="7" s="1"/>
  <c r="D16" i="5"/>
  <c r="E28" i="7" s="1"/>
  <c r="C16" i="5"/>
  <c r="C28" i="7" s="1"/>
  <c r="F16" i="5"/>
  <c r="E18" i="5"/>
  <c r="G18" i="5"/>
  <c r="H30" i="7" s="1"/>
  <c r="D18" i="5"/>
  <c r="C18" i="5"/>
  <c r="C30" i="7" s="1"/>
  <c r="F18" i="5"/>
  <c r="D23" i="5" l="1" a="1"/>
  <c r="B24" i="7"/>
  <c r="B24" i="5" a="1"/>
  <c r="F22" i="5"/>
  <c r="B10" i="6" l="1"/>
  <c r="C8" i="7"/>
  <c r="C9" i="7" s="1"/>
  <c r="C10" i="7" s="1"/>
  <c r="C15" i="7" l="1"/>
  <c r="C13" i="7"/>
  <c r="C11" i="7"/>
  <c r="C12" i="7"/>
  <c r="C14" i="7"/>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<sst xmlns="http://schemas.openxmlformats.org/spreadsheetml/2006/main" count="2495" uniqueCount="1773">
  <si>
    <t>CLEAN COOKING INVESTMENT TOOLKIT</t>
  </si>
  <si>
    <t>Prepared by INTELLECAP</t>
  </si>
  <si>
    <t>In collaboration with IDRC</t>
  </si>
  <si>
    <t>Purpose</t>
  </si>
  <si>
    <t>Step</t>
  </si>
  <si>
    <t>Sheet</t>
  </si>
  <si>
    <t>What it does</t>
  </si>
  <si>
    <t>Step 1</t>
  </si>
  <si>
    <t>Step 2</t>
  </si>
  <si>
    <t>3. Tool 01A Quick-Screen</t>
  </si>
  <si>
    <t>Step 3</t>
  </si>
  <si>
    <t>4. Tool 01B DD Checklist</t>
  </si>
  <si>
    <t>Step 4</t>
  </si>
  <si>
    <t>5. Tool 02 Instrument Matrix</t>
  </si>
  <si>
    <t>Step 5</t>
  </si>
  <si>
    <t>6. Tool 03 Enterprise Feedback</t>
  </si>
  <si>
    <t>Step 6</t>
  </si>
  <si>
    <t>E. Returns, Exits &amp; Failures</t>
  </si>
  <si>
    <t>Supporting</t>
  </si>
  <si>
    <t>A. Screen Engine · B. Stage Criteria · C. Instrument Library · D. Feedback Library · F. Benchmarks</t>
  </si>
  <si>
    <t>How the toolkit maps to the investment lifecycle</t>
  </si>
  <si>
    <t>Lifecycle stage</t>
  </si>
  <si>
    <t>PRE-INVESTMENT</t>
  </si>
  <si>
    <t>INVESTMENT &amp; STRUCTURING</t>
  </si>
  <si>
    <t>ACTIVE OWNERSHIP</t>
  </si>
  <si>
    <t>EXIT</t>
  </si>
  <si>
    <t>Building the pipeline before diligence begins</t>
  </si>
  <si>
    <t>#1 Identify the target archetype before sourcing</t>
  </si>
  <si>
    <t>#2 Access existing deal flow first</t>
  </si>
  <si>
    <t>#3 Match geography to strategy</t>
  </si>
  <si>
    <t>Dimension</t>
  </si>
  <si>
    <t>01  The Product Seller</t>
  </si>
  <si>
    <t>02  The Access Provider</t>
  </si>
  <si>
    <t>03  The Network Distributor</t>
  </si>
  <si>
    <t>05  The Infrastructure Utility</t>
  </si>
  <si>
    <t>Definition</t>
  </si>
  <si>
    <t>Customer segments</t>
  </si>
  <si>
    <t>Capital intensity &amp; timing</t>
  </si>
  <si>
    <t>Carbon role</t>
  </si>
  <si>
    <t>Key investor risks</t>
  </si>
  <si>
    <t>Metrics that matter (what to underwrite)</t>
  </si>
  <si>
    <t>Gender lens</t>
  </si>
  <si>
    <t>Geographic nuance</t>
  </si>
  <si>
    <t>Most critical enablers</t>
  </si>
  <si>
    <t>Best-suited capital</t>
  </si>
  <si>
    <t>Return profile &amp; typical holding period</t>
  </si>
  <si>
    <t>Illustrative companies</t>
  </si>
  <si>
    <t>Sector maturity &amp; deal precedents</t>
  </si>
  <si>
    <t>Enterprise being screened:</t>
  </si>
  <si>
    <t>[Enter name]</t>
  </si>
  <si>
    <t>Q#</t>
  </si>
  <si>
    <t>Answer</t>
  </si>
  <si>
    <t>If YES, routes to</t>
  </si>
  <si>
    <t>Q1</t>
  </si>
  <si>
    <t>Archetype 01: The Product Seller</t>
  </si>
  <si>
    <t>Q2</t>
  </si>
  <si>
    <t>Archetype 02: The Access Provider</t>
  </si>
  <si>
    <t>Q3</t>
  </si>
  <si>
    <t>Archetype 03: The Network Distributor</t>
  </si>
  <si>
    <t>Q4</t>
  </si>
  <si>
    <t>Archetype 04: The Carbon Integrated Model</t>
  </si>
  <si>
    <t>Q5</t>
  </si>
  <si>
    <t>Archetype 05: The Infrastructure Utility</t>
  </si>
  <si>
    <t>M#</t>
  </si>
  <si>
    <t>Pts</t>
  </si>
  <si>
    <t>M1</t>
  </si>
  <si>
    <t>M2</t>
  </si>
  <si>
    <t>M3</t>
  </si>
  <si>
    <t>M4</t>
  </si>
  <si>
    <t>M5</t>
  </si>
  <si>
    <t>HYBRID MODELS NOTE</t>
  </si>
  <si>
    <t>Screening:</t>
  </si>
  <si>
    <t>Maturity stage:</t>
  </si>
  <si>
    <t>Critical question</t>
  </si>
  <si>
    <t>RATING</t>
  </si>
  <si>
    <t>Evidence / notes</t>
  </si>
  <si>
    <t>Green</t>
  </si>
  <si>
    <t>Not rated</t>
  </si>
  <si>
    <t>Tally:</t>
  </si>
  <si>
    <t>DECISION:</t>
  </si>
  <si>
    <t>lookup key →</t>
  </si>
  <si>
    <t>Archetype</t>
  </si>
  <si>
    <t>Maturity stage</t>
  </si>
  <si>
    <t>Revenue band at this stage</t>
  </si>
  <si>
    <t>Status</t>
  </si>
  <si>
    <t>Key instrument(s)</t>
  </si>
  <si>
    <t>Typical ticket size</t>
  </si>
  <si>
    <t>Key de-risking requirement</t>
  </si>
  <si>
    <t>Currency risk</t>
  </si>
  <si>
    <t>The mezzanine gap</t>
  </si>
  <si>
    <t>Gender-lens qualification</t>
  </si>
  <si>
    <t>Tool 01B decision:</t>
  </si>
  <si>
    <t>helpers →</t>
  </si>
  <si>
    <t>Headline message to the enterprise</t>
  </si>
  <si>
    <t>What this rating reflects at this stage</t>
  </si>
  <si>
    <t>Priority actions</t>
  </si>
  <si>
    <t>Rating given</t>
  </si>
  <si>
    <t>What the rating indicates (diagnosis at this stage)</t>
  </si>
  <si>
    <t>Gating</t>
  </si>
  <si>
    <t>Part A complete?</t>
  </si>
  <si>
    <t>Part B complete?</t>
  </si>
  <si>
    <t>Mode</t>
  </si>
  <si>
    <t>Follow Tool 01A screen</t>
  </si>
  <si>
    <t>Carbon Integrated</t>
  </si>
  <si>
    <t>Growth Stage</t>
  </si>
  <si>
    <t>Archetype code</t>
  </si>
  <si>
    <t>Archetype name</t>
  </si>
  <si>
    <t>Applicable DD questions</t>
  </si>
  <si>
    <t>COMBINED SCREEN RESULT</t>
  </si>
  <si>
    <t>Status / consistency check</t>
  </si>
  <si>
    <t>Code</t>
  </si>
  <si>
    <t>Full Tool 01A label</t>
  </si>
  <si>
    <t>01</t>
  </si>
  <si>
    <t>Product Seller</t>
  </si>
  <si>
    <t>ARCHETYPE 01: THE PRODUCT SELLER</t>
  </si>
  <si>
    <t>02</t>
  </si>
  <si>
    <t>Access Provider</t>
  </si>
  <si>
    <t>ARCHETYPE 02: THE ACCESS PROVIDER</t>
  </si>
  <si>
    <t>03</t>
  </si>
  <si>
    <t>Network Distributor</t>
  </si>
  <si>
    <t>ARCHETYPE 03: THE NETWORK DISTRIBUTOR</t>
  </si>
  <si>
    <t>04</t>
  </si>
  <si>
    <t>ARCHETYPE 04: THE CARBON INTEGRATED MODEL</t>
  </si>
  <si>
    <t>05</t>
  </si>
  <si>
    <t>Infrastructure Utility</t>
  </si>
  <si>
    <t>ARCHETYPE 05: THE INFRASTRUCTURE UTILITY</t>
  </si>
  <si>
    <t>Red flags  →  Tool 01B, row 19</t>
  </si>
  <si>
    <t>Evidence to request  →  Tool 01B, row 20</t>
  </si>
  <si>
    <t>Sources note  →  Tool 01B, row 26</t>
  </si>
  <si>
    <t>Benchmark anchors  →  Tool 03, row 31</t>
  </si>
  <si>
    <t>Key (archetype|Q#|stage)</t>
  </si>
  <si>
    <t>Strong (Green)</t>
  </si>
  <si>
    <t>Adequate (Amber)</t>
  </si>
  <si>
    <t>Concern (Red)</t>
  </si>
  <si>
    <t>Gating at this stage</t>
  </si>
  <si>
    <t>01|Q1|Early Stage</t>
  </si>
  <si>
    <t>01 Product Seller</t>
  </si>
  <si>
    <t>Early Stage</t>
  </si>
  <si>
    <t>All revenue to date institutional or donor-procured, but a funded commercial pilot is scheduled and the price point to be tested is defined.</t>
  </si>
  <si>
    <t>No evidence any customer will pay a commercial price, and the plan assumes donor or institutional procurement indefinitely.</t>
  </si>
  <si>
    <t>✔</t>
  </si>
  <si>
    <t>01|Q1|Growth Stage</t>
  </si>
  <si>
    <t>&gt;50% of revenue from paying households/commercial buyers across ≥2 markets; any single institutional contract replaceable within 12 months without threatening solvency.</t>
  </si>
  <si>
    <t>20-50% from paying buyers; institutional procurement still material but on a downward trajectory.</t>
  </si>
  <si>
    <t>&lt;20% from paying buyers, or dependence on a single donor whose expiry has no replacement plan.</t>
  </si>
  <si>
    <t>01|Q1|Scale</t>
  </si>
  <si>
    <t>Scale</t>
  </si>
  <si>
    <t>&gt;60% of revenue from paying buyers across ≥3 markets in audited accounts; no single institutional or donor counterparty above ~20% of revenue.</t>
  </si>
  <si>
    <t>40-60% paying, or a single institutional/donor counterparty at 20-35% of revenue with a partial replacement pipeline.</t>
  </si>
  <si>
    <t>&lt;40% paying at this revenue scale, or a single donor/institutional counterparty above ~35% of revenue with no replacement: concentration is now a solvency risk, not a growing pain.</t>
  </si>
  <si>
    <t>01|Q2|Early Stage</t>
  </si>
  <si>
    <t>Unit economics: is device contribution positive, and at what volume does the business cover overheads?</t>
  </si>
  <si>
    <t>Bill of materials and landed cost built bottom-up from actual supplier quotes; contribution positive at pilot price, or the volume at which it turns positive is costed and within the next funding round.</t>
  </si>
  <si>
    <t>01|Q2|Growth Stage</t>
  </si>
  <si>
    <t>Each unit sold at positive contribution margin at current volume, with a credible, costed path to covering fixed overheads.</t>
  </si>
  <si>
    <t>Units contribution-positive only at a higher production/sales volume not yet reached.</t>
  </si>
  <si>
    <t>Unit margin negative and sustained only by subsidy, with no demonstrated path to positive contribution.</t>
  </si>
  <si>
    <t>01|Q2|Scale</t>
  </si>
  <si>
    <t>Positive contribution margin sustained across product lines and markets in audited accounts; fixed overheads covered from device/fuel gross margin, with margin stable or improving over ≥2 years.</t>
  </si>
  <si>
    <t>Contribution positive but overheads covered only in the strongest market or product line; group-level EBITDA still negative with a dated path to breakeven.</t>
  </si>
  <si>
    <t>Unit margin negative at this scale, or overheads covered only by grant/carbon income: volume has not produced the operating leverage the model promised.</t>
  </si>
  <si>
    <t>01|Q3|Early Stage</t>
  </si>
  <si>
    <t>Lab-tested but minimal field data; warranty policy drafted but no reserve method.</t>
  </si>
  <si>
    <t>No durability testing, no field-return tracking, and no warranty policy: the exposure is unquantified before volume is built.</t>
  </si>
  <si>
    <t>01|Q3|Growth Stage</t>
  </si>
  <si>
    <t>Field failure rates &lt;5% by product line; warranty reserves provisioned against actual field-return data.</t>
  </si>
  <si>
    <t>Failure rates 5-10%, or reserves estimated rather than calibrated to field returns.</t>
  </si>
  <si>
    <t>Failure rates &gt;10%, or no warranty reserve and no field-return tracking.</t>
  </si>
  <si>
    <t>01|Q3|Scale</t>
  </si>
  <si>
    <t>Failure rates &gt;10% at installed-base scale, or reserves not calibrated to field returns: claims can now reach a material share of topline.</t>
  </si>
  <si>
    <t>01|Q4|Early Stage</t>
  </si>
  <si>
    <t>Parity analysis done at a high level, or dependent on a scale volume more than one funding round away.</t>
  </si>
  <si>
    <t>No comparison against comparable imports, or cost structurally above imports with no design or sourcing lever identified.</t>
  </si>
  <si>
    <t>01|Q4|Growth Stage</t>
  </si>
  <si>
    <t>Cost per unit at current volume at or below comparable imports: defensible margin without subsidy.</t>
  </si>
  <si>
    <t>Cost parity with imports achievable (~10-20% above today), but only at a higher production volume than currently run.</t>
  </si>
  <si>
    <t>01|Q4|Scale</t>
  </si>
  <si>
    <t>Cost at or below comparable imports at current volume, with a demonstrated cost-down track record and procurement scale or local sourcing that competitors cannot quickly replicate.</t>
  </si>
  <si>
    <t>Still above import cost at full scale: the scale argument has been tested and has not delivered parity.</t>
  </si>
  <si>
    <t>01|Q5|Early Stage</t>
  </si>
  <si>
    <t>Customer lifetime value: is there revenue beyond the one-time sale (repeat purchase, upgrades, attached services)?</t>
  </si>
  <si>
    <t>An attached-revenue or repeat-purchase mechanism (fuel, consumables, upgrades, after-sales) is designed into the product and being tested in the pilot.</t>
  </si>
  <si>
    <t>Attached revenue is an intention on the roadmap, with no mechanism built or tested.</t>
  </si>
  <si>
    <t>Pure one-time sale with no attached-revenue concept and no plan to re-reach the customer.</t>
  </si>
  <si>
    <t>01|Q5|Growth Stage</t>
  </si>
  <si>
    <t>Evidence of repeat/upgrade purchases, or attached after-sales/fuel revenue extending lifetime value well beyond the initial transaction.</t>
  </si>
  <si>
    <t>Some repeat revenue exists, but lifetime value remains largely a single transaction.</t>
  </si>
  <si>
    <t>Pure one-time sale with low margin and no re-acquisition or attached-revenue strategy.</t>
  </si>
  <si>
    <t>01|Q5|Scale</t>
  </si>
  <si>
    <t>Attached or repeat revenue is a measured, material share of topline with a customer database enabling re-acquisition at low CAC; lifetime value tracked by cohort.</t>
  </si>
  <si>
    <t>Repeat/attached revenue exists but is immaterial to topline, or the customer database is too weak to re-target.</t>
  </si>
  <si>
    <t>Still a pure one-time sale at scale: every year of growth requires an equivalent year of acquisition spend.</t>
  </si>
  <si>
    <t>01|Q6|Early Stage</t>
  </si>
  <si>
    <t>Q6</t>
  </si>
  <si>
    <t>Carbon as surplus, not lifeline: is the device business profitable without carbon, and what does carbon add?</t>
  </si>
  <si>
    <t>Business plan reaches breakeven on device (and/or fuel) revenue alone before any carbon; where carbon is planned, the methodology chosen is CCP-approved (ideally Gold Standard Metered &amp; Measured) and treated as upside in the base case.</t>
  </si>
  <si>
    <t>The plan does not work without carbon revenue that has not yet been registered, let alone verified: the plan depends on carbon before it exists.</t>
  </si>
  <si>
    <t>01|Q6|Growth Stage</t>
  </si>
  <si>
    <t>Device/fuel revenue alone around breakeven; carbon needed for target margins or scale, but a credible standalone path exists and credits are on, or migrating to, a CCP-approved methodology rather than a rejected legacy one (AMS-I.E, AMS-II.G, GS simplified).</t>
  </si>
  <si>
    <t>Model unprofitable without carbon: carbon is essential, exposing the business to price falls and methodology revision.</t>
  </si>
  <si>
    <t>01|Q6|Scale</t>
  </si>
  <si>
    <t>01|Q7|Early Stage</t>
  </si>
  <si>
    <t>Q7</t>
  </si>
  <si>
    <t>Founding team holds product engineering or manufacturing depth plus a named plan (hire or partner, costed) for supply-chain and commercial capability before scale-up.</t>
  </si>
  <si>
    <t>Strong in one dimension with a real gap and only an intention to fill it; heavy key-person reliance normal at this stage but unmitigated.</t>
  </si>
  <si>
    <t>No manufacturing or supply-chain capability in the team or through a contract manufacturer, and no credible plan to acquire it.</t>
  </si>
  <si>
    <t>01|Q7|Growth Stage</t>
  </si>
  <si>
    <t>Proven product engineering/manufacturing + supply-chain procurement + commercial distribution; track record of driving costs down and quality up; depth beyond a single founder.</t>
  </si>
  <si>
    <t>A critical capability absent (no manufacturing/supply-chain leadership) plus acute key-person risk.</t>
  </si>
  <si>
    <t>01|Q7|Scale</t>
  </si>
  <si>
    <t>Full executive bench (operations, supply chain, commercial, finance) with succession below each role; founder departure would not be an event risk; multi-site/multi-market management demonstrated.</t>
  </si>
  <si>
    <t>Bench complete but thin below the top layer, or one function still founder-carried at a scale that requires an institutional operator.</t>
  </si>
  <si>
    <t>Still founder-dependent at scale, or no CFO-grade finance function for a business of this size.</t>
  </si>
  <si>
    <t>01|Q8|Early Stage</t>
  </si>
  <si>
    <t>Q8</t>
  </si>
  <si>
    <t>Management accounts reliable and reconciled; ≥6 months runway or a signed term sheet; clean, simple cap table with founder vesting and no unresolved IP or related-party issues.</t>
  </si>
  <si>
    <t>No reliable books; runway &lt;3 months with no financing path; or governance red flags (undocumented related-party dealings, disputed ownership).</t>
  </si>
  <si>
    <t>01|Q8|Growth Stage</t>
  </si>
  <si>
    <t>Audited/independently reviewed accounts; ≥~12 months runway or clear financing path; clean, aligned cap table and board; capable of impact reporting.</t>
  </si>
  <si>
    <t>Management accounts only; ~6-12 months runway; or some cap table/board complexity or gaps.</t>
  </si>
  <si>
    <t>No reliable financials or controls; runway &lt;~6 months; or governance red flags (related-party dealings, no functioning board).</t>
  </si>
  <si>
    <t>01|Q8|Scale</t>
  </si>
  <si>
    <t>Audited but with management-letter points outstanding, or board functioning without independent challenge, or group/subsidiary reporting incomplete.</t>
  </si>
  <si>
    <t>Qualified audit, material weaknesses in controls, undisclosed related-party flows, or a group structure that obscures where value and liabilities sit.</t>
  </si>
  <si>
    <t>01|Q9|Early Stage</t>
  </si>
  <si>
    <t>Q9</t>
  </si>
  <si>
    <t>Customer research distinguishes the female user from the purchase decision-maker, and the channel design reflects it; gender-disaggregated data collection built into the pilot from the outset.</t>
  </si>
  <si>
    <t>Gender considered in product design but not in the demand model or data collection plan.</t>
  </si>
  <si>
    <t>Household treated as a single economic unit; no plan to collect gender-disaggregated data: later RBF and 2X qualification will be foreclosed.</t>
  </si>
  <si>
    <t>01|Q9|Growth Stage</t>
  </si>
  <si>
    <t>Demand segmented by household decision-maker; sales channel evidenced to reach women effectively.</t>
  </si>
  <si>
    <t>Gender considered anecdotally but not built into the demand model.</t>
  </si>
  <si>
    <t>Household treated as a single economic unit; no gender-disaggregated data collected.</t>
  </si>
  <si>
    <t>01|Q9|Scale</t>
  </si>
  <si>
    <t>Data collected but not reported to investor standard, or 2X criteria partially met with no plan to close the gap.</t>
  </si>
  <si>
    <t>02|Q1|Early Stage</t>
  </si>
  <si>
    <t>02 Access Provider</t>
  </si>
  <si>
    <t>Model choice made but the data architecture does not yet separate the streams; separation achievable before scale.</t>
  </si>
  <si>
    <t>The team cannot say clearly whether it is extending credit or selling access: the core risk of the archetype is undefined.</t>
  </si>
  <si>
    <t>02|Q1|Growth Stage</t>
  </si>
  <si>
    <t>Models blended but can be reconciled and separated on request.</t>
  </si>
  <si>
    <t>02|Q1|Scale</t>
  </si>
  <si>
    <t>Separated in management reporting but not in audited accounts, or provisioning policy inconsistent across markets.</t>
  </si>
  <si>
    <t>Blended reporting at a scale where the receivables book is being financed: the lender cannot see the credit risk it is taking.</t>
  </si>
  <si>
    <t>02|Q2|Early Stage</t>
  </si>
  <si>
    <t>Some collections data but no cohort structure; the system to produce cohort reporting is specified but not built.</t>
  </si>
  <si>
    <t>Devices deployed with no cohort tracking and no ability to say what has been collected against what is owed.</t>
  </si>
  <si>
    <t>02|Q2|Growth Stage</t>
  </si>
  <si>
    <t>Repayment 72-90% at 2x term (at/above the GOGLA PAYGo PERFORM sector average of 72%), with basic cohort tracking.</t>
  </si>
  <si>
    <t>Repayment &lt;72% and trending to the &lt;60% distress zone, or no cohort / receivables-at-risk tracking at all.</t>
  </si>
  <si>
    <t>02|Q2|Scale</t>
  </si>
  <si>
    <t>80-90% at 2x term, or performance strong in the home market but unproven in newer geographies now carrying a material share of the book.</t>
  </si>
  <si>
    <t>&lt;80% at 2x term at portfolio scale, deteriorating vintages, or cohort data that cannot withstand independent review: the book is not refinanceable.</t>
  </si>
  <si>
    <t>02|Q3|Early Stage</t>
  </si>
  <si>
    <t>Churn and active customers: what is the 12-month active-customer rate, and what drives attrition in the worst cohort?</t>
  </si>
  <si>
    <t>Active-customer definition set and applied consistently from the first cohort; early retention consistent with the plan, with attrition reasons logged qualitatively.</t>
  </si>
  <si>
    <t>Only registered/installed counts exist: no concept of an active customer, so churn is invisible by construction.</t>
  </si>
  <si>
    <t>02|Q3|Growth Stage</t>
  </si>
  <si>
    <t>12-month active-customer rate ≥80%, with attrition drivers identified in the highest-churn cohort.</t>
  </si>
  <si>
    <t>12-month active rate 60-80%.</t>
  </si>
  <si>
    <t>Active rate &lt;60%, or active count far below registered users with no credible explanation.</t>
  </si>
  <si>
    <t>02|Q3|Scale</t>
  </si>
  <si>
    <t>60-80%, or strong retention in mature cohorts masking materially weaker recent or new-market cohorts.</t>
  </si>
  <si>
    <t>&lt;60% at scale, or headline customer numbers that cannot be reconciled to active paying users: the most common sign of understated churn.</t>
  </si>
  <si>
    <t>02|Q4|Early Stage</t>
  </si>
  <si>
    <t>Device subsidy and servicing cost cannot be recovered at the intended price under any churn assumption tested.</t>
  </si>
  <si>
    <t>02|Q4|Growth Stage</t>
  </si>
  <si>
    <t>ARPU covers device supply and servicing cost (contribution margin) within the typical 12-36 months at current churn.</t>
  </si>
  <si>
    <t>Breakeven credible but falls beyond 36 months.</t>
  </si>
  <si>
    <t>ARPU below the level needed to recover device subsidy and servicing cost over any realistic horizon.</t>
  </si>
  <si>
    <t>02|Q4|Scale</t>
  </si>
  <si>
    <t>No cohort has reached breakeven at this scale: growth is consuming capital with no evidence the J-curve turns.</t>
  </si>
  <si>
    <t>02|Q5|Early Stage</t>
  </si>
  <si>
    <t>Lock-in durability: how easily can a customer switch to an alternative fuel or device, and at what cost?</t>
  </si>
  <si>
    <t>Lock-in mechanism (hardware, fuel format, metering) is designed in and its switching cost articulated against the actual local alternatives.</t>
  </si>
  <si>
    <t>Some lock-in by design but substitutes are cheap and available; defensibility rests on service quality alone.</t>
  </si>
  <si>
    <t>No lock-in and no differentiation: recurring revenue is an assumption, not a structure.</t>
  </si>
  <si>
    <t>02|Q5|Growth Stage</t>
  </si>
  <si>
    <t>Hardware or fuel lock-in creates a real switching cost that defends recurring revenue.</t>
  </si>
  <si>
    <t>Switching possible at moderate cost, with substitutes available.</t>
  </si>
  <si>
    <t>Switching cost negligible: recurring revenue not defensible.</t>
  </si>
  <si>
    <t>02|Q5|Scale</t>
  </si>
  <si>
    <t>Lock-in holding but eroding as competitors or grid/LPG alternatives arrive in core markets; response identified but unproven.</t>
  </si>
  <si>
    <t>Customers switching away at scale, or lock-in maintained only by pricing below cost.</t>
  </si>
  <si>
    <t>02|Q6|Early Stage</t>
  </si>
  <si>
    <t>Regulatory compliance: does the business hold/require consumer-finance licensing, and how is regulation evolving?</t>
  </si>
  <si>
    <t>Requirement understood but the compliant structure not yet in place; launch planned ahead of clarity.</t>
  </si>
  <si>
    <t>No legal view taken on whether the model requires consumer-finance licensing: the business could be unlawful on day one.</t>
  </si>
  <si>
    <t>02|Q6|Growth Stage</t>
  </si>
  <si>
    <t>Holds required licensing and is positioned ahead of the regulatory curve in its main markets.</t>
  </si>
  <si>
    <t>Currently compliant but exposed to pending consumer-finance rules.</t>
  </si>
  <si>
    <t>Operating without the licensing its markets require.</t>
  </si>
  <si>
    <t>02|Q6|Scale</t>
  </si>
  <si>
    <t>Licensed in core markets but operating ahead of clarity in one or more expansion markets that are material to the growth case.</t>
  </si>
  <si>
    <t>Unlicensed activity at a scale that invites enforcement, or pending rules that would make a material share of the book non-compliant with no remediation plan.</t>
  </si>
  <si>
    <t>02|Q7|Early Stage</t>
  </si>
  <si>
    <t>Carbon as surplus, not lifeline: is the access business profitable without carbon, and what does carbon add?</t>
  </si>
  <si>
    <t>Plan reaches contribution breakeven on access revenue alone; metering architecture chosen so that Gold Standard Metered &amp; Measured MRV is available later at low incremental cost, with carbon treated as upside.</t>
  </si>
  <si>
    <t>The plan only works with carbon revenue that is neither registered nor verified.</t>
  </si>
  <si>
    <t>02|Q7|Growth Stage</t>
  </si>
  <si>
    <t>Access revenue alone around breakeven; carbon needed to serve lower-income segments profitably, though a credible standalone path exists.</t>
  </si>
  <si>
    <t>02|Q7|Scale</t>
  </si>
  <si>
    <t>Access business profitable but carbon material to covenants; a fall to spot pricing would force a growth stop.</t>
  </si>
  <si>
    <t>Carbon essential to viability at scale, or carbon receivables leveraged without a contracted floor price and (for compliance pricing) a host-government LoA.</t>
  </si>
  <si>
    <t>02|Q8|Early Stage</t>
  </si>
  <si>
    <t>Founding team covers the metering/technology build and has named, costed credit-risk capability (hire or MFI partner) before any receivables book is created.</t>
  </si>
  <si>
    <t>Strong technology team with credit risk treated as a later problem, or vice versa.</t>
  </si>
  <si>
    <t>Neither metering-technology depth nor credit-risk capability, in a model whose whole risk is credit and data.</t>
  </si>
  <si>
    <t>02|Q8|Growth Stage</t>
  </si>
  <si>
    <t>IoT/metering technology and data capability + credit-risk and collections experience + consumer-finance know-how.</t>
  </si>
  <si>
    <t>Strong in technology but thin in credit risk/collections, or vice versa.</t>
  </si>
  <si>
    <t>No credit-risk or collections capability for the receivables book, or insufficient technology depth to run the metering platform.</t>
  </si>
  <si>
    <t>02|Q8|Scale</t>
  </si>
  <si>
    <t>Institutional-grade credit function (underwriting, collections, provisioning, treasury) alongside a platform team able to run metering at portfolio scale; multi-market operating management with succession.</t>
  </si>
  <si>
    <t>Credit function adequate for the home market but stretched by new markets, or platform reliability dependent on a small number of engineers.</t>
  </si>
  <si>
    <t>No credit function of institutional quality at a scale where the receivables book is being financed by third parties.</t>
  </si>
  <si>
    <t>02|Q9|Early Stage</t>
  </si>
  <si>
    <t>Bookkeeping informal but reconstructable; ~3-6 months runway; cap table has fixable complexity.</t>
  </si>
  <si>
    <t>No reliable books; runway &lt;3 months with no financing path; or governance red flags.</t>
  </si>
  <si>
    <t>02|Q9|Growth Stage</t>
  </si>
  <si>
    <t>Audited/independently reviewed accounts; ≥~12 months runway or clear financing path; proper governance structures (cap table, advisory board); capable of impact reporting.</t>
  </si>
  <si>
    <t>No reliable financials or controls; runway &lt;~6 months; or governance red flags.</t>
  </si>
  <si>
    <t>02|Q9|Scale</t>
  </si>
  <si>
    <t>Clean audit across ≥2 years with a stated receivables provisioning policy the auditor accepts; independent board with audit/risk oversight; covenant compliance reported routinely; impact reporting to investor standard.</t>
  </si>
  <si>
    <t>Audited with management-letter points outstanding, or provisioning policy that flatters the book relative to observed vintage performance.</t>
  </si>
  <si>
    <t>Qualified audit, under-provisioned receivables, or a group structure that obscures where the credit risk sits.</t>
  </si>
  <si>
    <t>02|Q10|Early Stage</t>
  </si>
  <si>
    <t>Q10</t>
  </si>
  <si>
    <t>Gender lens: does the model reach women as users, and is payment built around women's control to improve retention?</t>
  </si>
  <si>
    <t>No gender consideration in a model whose primary user is a woman and whose repayment depends on her control of payment.</t>
  </si>
  <si>
    <t>02|Q10|Growth Stage</t>
  </si>
  <si>
    <t>02|Q10|Scale</t>
  </si>
  <si>
    <t>Repayment and retention reported by gender across cohorts, with the effect quantified and used in underwriting; 2X-qualifying structure unlocking dedicated DFI pools; credit histories generated support bundled products.</t>
  </si>
  <si>
    <t>Data collected but not used in underwriting or reported to investor standard; 2X criteria partially met.</t>
  </si>
  <si>
    <t>No gender-disaggregated portfolio data at a scale where it is both an underwriting input and a capital-access condition.</t>
  </si>
  <si>
    <t>03|Q1|Early Stage</t>
  </si>
  <si>
    <t>03 Network Distributor</t>
  </si>
  <si>
    <t>Agent economics: what is the net margin per active agent per month, and is it enough to make agency a real livelihood rather than a side activity?</t>
  </si>
  <si>
    <t>No agent-level margin model: the unit of the business has not been costed.</t>
  </si>
  <si>
    <t>03|Q1|Growth Stage</t>
  </si>
  <si>
    <t>Net margin per active agent high enough to make agency a primary livelihood, supporting retention.</t>
  </si>
  <si>
    <t>Agency viable only as supplementary income.</t>
  </si>
  <si>
    <t>Agent margin below subsistence, implying high attrition.</t>
  </si>
  <si>
    <t>03|Q1|Scale</t>
  </si>
  <si>
    <t>Agent margin at or above the local primary-earner threshold sustained across geographies and cohorts, with margin per agent stable or rising as the network grows and attrition evidencing it.</t>
  </si>
  <si>
    <t>Margin adequate in core geographies but below threshold in expansion markets carrying the growth case.</t>
  </si>
  <si>
    <t>Margin per agent falling as the network expands: growth is diluting the earnings that hold the network together.</t>
  </si>
  <si>
    <t>03|Q2|Early Stage</t>
  </si>
  <si>
    <t>Agent activity rate: what share of recruited agents transacted in the last 30 and 90 days?</t>
  </si>
  <si>
    <t>Digital tracking in place from first recruitment; activity measured on a stated definition from the first cohort.</t>
  </si>
  <si>
    <t>Activity tracked manually; the digital system is specified but not built.</t>
  </si>
  <si>
    <t>Only a recruitment count exists: activity is unmeasured, so network size is a headline, not a metric.</t>
  </si>
  <si>
    <t>03|Q2|Growth Stage</t>
  </si>
  <si>
    <t>A majority (≥70%) of recruited agents active within the last 30 days, with a stable active base over 90 days.</t>
  </si>
  <si>
    <t>Activity fluctuating (50-70% active), with a large gap between recruited and recently active agents.</t>
  </si>
  <si>
    <t>Most recruited agents dormant (&lt;50% active): headline agent numbers overstate the network.</t>
  </si>
  <si>
    <t>03|Q2|Scale</t>
  </si>
  <si>
    <t>≥70% active at 30 days sustained across geographies and recruitment cohorts, auditable from the platform; activity stable or improving as the network scales.</t>
  </si>
  <si>
    <t>50-70% active, or strong activity in mature geographies masking dormancy in the newest cohorts.</t>
  </si>
  <si>
    <t>&lt;50% active at scale: the reported network is substantially notional, and revenue guidance built on agent counts is unsafe.</t>
  </si>
  <si>
    <t>03|Q3|Early Stage</t>
  </si>
  <si>
    <t>Inventory financing: how are agents financing inventory, and what is the default rate on stock credit extended by the parent?</t>
  </si>
  <si>
    <t>The stock-finance model is chosen (MFI-linked, consignment, or cash-and-carry) and its cost and risk owner are explicit; any parent credit is policy-based with limits set before scale.</t>
  </si>
  <si>
    <t>Stock financing informal, with parent credit extended case by case and no policy; an MFI partnership is in discussion, not signed.</t>
  </si>
  <si>
    <t>Agents cannot finance inventory and no solution is identified: the growth constraint is unaddressed at the point it should be designed out.</t>
  </si>
  <si>
    <t>03|Q3|Growth Stage</t>
  </si>
  <si>
    <t>Stock financing ad hoc, and default is rising (5-10%).</t>
  </si>
  <si>
    <t>No stock-finance solution: inventory, and therefore growth, is stagnant (or default &gt;10% / unmonitored).</t>
  </si>
  <si>
    <t>03|Q3|Scale</t>
  </si>
  <si>
    <t>Parent balance sheet is the agent lender at scale with default &gt;10% or unmonitored: a distribution business has become an unmanaged lender.</t>
  </si>
  <si>
    <t>03|Q4|Early Stage</t>
  </si>
  <si>
    <t>Concentration: what share of throughput comes from the top 20% of agents, and what is the plan if they disengage?</t>
  </si>
  <si>
    <t>Concentration expected and monitored from the first cohort; recruitment plan designed to broaden the base rather than deepen reliance on a few pilot stars.</t>
  </si>
  <si>
    <t>Concentration high and unexamined, though normal at pilot size.</t>
  </si>
  <si>
    <t>The entire pilot rests on two or three individuals whose performance is being extrapolated to a network that does not exist.</t>
  </si>
  <si>
    <t>03|Q4|Growth Stage</t>
  </si>
  <si>
    <t>Throughput broadly distributed (top 20% of agents &lt;50% of volume), with a succession plan for high performers.</t>
  </si>
  <si>
    <t>Top 20% drive 50-70% of volume, with only partial mitigation for attrition.</t>
  </si>
  <si>
    <t>Revenue depends on a handful of agents (top 20% &gt;70% of volume) with no contingency.</t>
  </si>
  <si>
    <t>03|Q4|Scale</t>
  </si>
  <si>
    <t>Top 20% &lt;50% of throughput at portfolio level and within each major geography, with documented succession and territory cover for high performers.</t>
  </si>
  <si>
    <t>50-70% concentration, or acceptable at portfolio level while a key geography is critically concentrated.</t>
  </si>
  <si>
    <t>&gt;70% concentration at scale with no contingency: a handful of departures would reset the revenue line.</t>
  </si>
  <si>
    <t>03|Q5|Early Stage</t>
  </si>
  <si>
    <t>Training exists but oversight is entirely manual and informal, with no complaint route.</t>
  </si>
  <si>
    <t>No training or oversight mechanism: independent contractors will define the brand in the field.</t>
  </si>
  <si>
    <t>03|Q5|Growth Stage</t>
  </si>
  <si>
    <t>Digital monitoring and incentive structures keep quality and service consistent across the network.</t>
  </si>
  <si>
    <t>Oversight is manual or partial.</t>
  </si>
  <si>
    <t>No evidence of a quality-control mechanism.</t>
  </si>
  <si>
    <t>03|Q5|Scale</t>
  </si>
  <si>
    <t>Monitoring digital but enforcement inconsistent across geographies, or complaint data collected without action.</t>
  </si>
  <si>
    <t>Quality incidents at scale with no systematic detection: mis-selling risk in a network the parent cannot see.</t>
  </si>
  <si>
    <t>03|Q6|Early Stage</t>
  </si>
  <si>
    <t>Carbon as surplus, not lifeline: do network and HQ economics stand without carbon, and what does upstream carbon add?</t>
  </si>
  <si>
    <t>03|Q6|Growth Stage</t>
  </si>
  <si>
    <t>Agent margins and HQ wholesale economics profitable at current scale without carbon; where an upstream manufacturer passes carbon through, it lowers retail price to reach lower-income households.</t>
  </si>
  <si>
    <t>03|Q6|Scale</t>
  </si>
  <si>
    <t>Network profitable without carbon in audited accounts; where carbon is passed through, the arrangement is contracted with documented carbon rights and a defined term, and its withdrawal is stress-tested.</t>
  </si>
  <si>
    <t>Profitable without carbon but volume guidance assumes pass-through continuing on terms that are not contractual.</t>
  </si>
  <si>
    <t>Throughput at scale depends on an upstream carbon subsidy the enterprise cannot enforce: a third party controls the price that drives the volume.</t>
  </si>
  <si>
    <t>03|Q7|Early Stage</t>
  </si>
  <si>
    <t>Gender lens: does the network recruit and retain female agents, and is their productivity tracked?</t>
  </si>
  <si>
    <t>Recruitment designed to reach women (outreach channels, working patterns, safety), with gender-disaggregated agent data collected from the first cohort.</t>
  </si>
  <si>
    <t>Open to female agents but with no deliberate recruitment design or disaggregated tracking.</t>
  </si>
  <si>
    <t>Recruitment channels reach men by default and no gender data is collected, in the archetype with the strongest evidence that female agents outperform.</t>
  </si>
  <si>
    <t>03|Q7|Growth Stage</t>
  </si>
  <si>
    <t>Female agents recruited and retained, with their productivity tracked; external qualitative evidence (ICRW, 2016, Solar Sister / Tanzania) reports female entrepreneurs as more effective sellers than male peers.</t>
  </si>
  <si>
    <t>Some female agents engaged, but productivity not tracked.</t>
  </si>
  <si>
    <t>Network male-dominated with no gender-disaggregated data.</t>
  </si>
  <si>
    <t>03|Q7|Scale</t>
  </si>
  <si>
    <t>Female agents present and tracked, but the data does not shape recruitment or unlock gender-linked capital.</t>
  </si>
  <si>
    <t>Male-dominated network at scale with no disaggregated data: forgoing both the productivity evidence and gender-linked capital pools.</t>
  </si>
  <si>
    <t>03|Q8|Early Stage</t>
  </si>
  <si>
    <t>Team and skills: has the team built and managed agent or last-mile networks at scale?</t>
  </si>
  <si>
    <t>Founders have run field sales or last-mile distribution somewhere, and the field-operations leadership for the first 100 agents is named and in place.</t>
  </si>
  <si>
    <t>Commercial experience present but no agent-network management background; the gap is acknowledged with only a hiring intention.</t>
  </si>
  <si>
    <t>No field-operations experience in a business whose only asset is a field network.</t>
  </si>
  <si>
    <t>03|Q8|Growth Stage</t>
  </si>
  <si>
    <t>Enterprise has built and run sizeable agent/last-mile networks, with genuine field operations and logistics depth.</t>
  </si>
  <si>
    <t>Distribution experience present, but limited agent-network management at scale.</t>
  </si>
  <si>
    <t>No field-operations or agent-management experience; network run informally.</t>
  </si>
  <si>
    <t>03|Q8|Scale</t>
  </si>
  <si>
    <t>Depth in the home market but new-geography expansion led by the founding team with no local operating bench.</t>
  </si>
  <si>
    <t>Network run informally at scale, or no operating layer between HQ and thousands of independent agents.</t>
  </si>
  <si>
    <t>03|Q9|Early Stage</t>
  </si>
  <si>
    <t>Management accounts reliable and reconciled, including agent stock and receivables; ≥6 months runway or a signed term sheet; clean cap table.</t>
  </si>
  <si>
    <t>Bookkeeping informal; agent stock not reconciled; ~3-6 months runway.</t>
  </si>
  <si>
    <t>No reliable books, no stock reconciliation, runway &lt;3 months, or governance red flags.</t>
  </si>
  <si>
    <t>03|Q9|Growth Stage</t>
  </si>
  <si>
    <t>Audited/independently reviewed accounts; ≥~12 months runway or clear financing path; proper governance structures; capable of impact reporting.</t>
  </si>
  <si>
    <t>03|Q9|Scale</t>
  </si>
  <si>
    <t>Clean audit across ≥2 years with agent stock and stock-credit reconciled and provisioned; independent board oversight; RBF and covenant reporting produced routinely from the digital platform.</t>
  </si>
  <si>
    <t>Audited with management-letter points, or agent stock/credit reconciliation that requires manual reconstruction each period.</t>
  </si>
  <si>
    <t>Qualified audit, unreconciled agent stock at scale, or leakage that the parent cannot quantify.</t>
  </si>
  <si>
    <t>04|Q1|Early Stage</t>
  </si>
  <si>
    <t>04 Carbon Integrated Model</t>
  </si>
  <si>
    <t>Streams separated but sharing assumptions, or the verification lag not reflected in the cash-flow model.</t>
  </si>
  <si>
    <t>A single blended revenue line: the business is being designed without knowing which half of it works.</t>
  </si>
  <si>
    <t>04|Q1|Growth Stage</t>
  </si>
  <si>
    <t>Streams separated but sharing some assumptions or sensitivity analysis.</t>
  </si>
  <si>
    <t>Revenue presented as a single line with no distinction between device sales and carbon income.</t>
  </si>
  <si>
    <t>04|Q1|Scale</t>
  </si>
  <si>
    <t>Separated in management reporting but revenue-recognition policy for carbon is aggressive or inconsistent across periods.</t>
  </si>
  <si>
    <t>Blended reporting at a scale where debt is being raised: the lender cannot see which cash flow secures it.</t>
  </si>
  <si>
    <t>04|Q2|Early Stage</t>
  </si>
  <si>
    <t>Unit economics: can the business remain commercially viable under conservative carbon price assumptions?</t>
  </si>
  <si>
    <t>04|Q2|Growth Stage</t>
  </si>
  <si>
    <t>Device economics remain positive but require moderate carbon support.</t>
  </si>
  <si>
    <t>Business becomes commercially unviable if carbon revenues decline or are delayed.</t>
  </si>
  <si>
    <t>04|Q2|Scale</t>
  </si>
  <si>
    <t>Viable at conservative pricing but with covenant headroom that a single failed verification cycle would consume.</t>
  </si>
  <si>
    <t>Debt or growth commitments sized against carbon pricing above spot: the KOKO pattern at the scale where it becomes insolvency, not disappointment.</t>
  </si>
  <si>
    <t>04|Q3|Early Stage</t>
  </si>
  <si>
    <t>Methodology integrity: under which methodology are credits registered, and does it carry the ICVCM Core Carbon Principles label?</t>
  </si>
  <si>
    <t>Methodology selected for CCP eligibility before registration: ideally GS Metered &amp; Measured; fNRB derivation route (MoFuSS) and stove-use monitoring design specified in the project design document.</t>
  </si>
  <si>
    <t>A rejected/legacy methodology (GS Simplified, GS EE v1-13.1, CDM AMS-II.G, AMS-I.E) chosen for speed or yield: sampled cookstove projects were over-credited ~9.2x on average (Gill-Wiehl et al. 2024).</t>
  </si>
  <si>
    <t>04|Q3|Growth Stage</t>
  </si>
  <si>
    <t>Methodology CCP-approved, but the project is still transitioning to meet the fNRB and monitoring conditions.</t>
  </si>
  <si>
    <t>Rejected/legacy methodology with no transition plan.</t>
  </si>
  <si>
    <t>04|Q3|Scale</t>
  </si>
  <si>
    <t>Every project in the portfolio on a CCP-approved methodology meeting the ICVCM conditions, with migration of any legacy vintages completed; methodology-revision risk assessed and disclosed by project and vintage.</t>
  </si>
  <si>
    <t>Portfolio predominantly CCP-approved but with legacy vintages still material to revenue, on a dated migration plan.</t>
  </si>
  <si>
    <t>Legacy or rejected methodologies material to a portfolio of this size: retroactive volume reduction is a balance-sheet event, not a project issue.</t>
  </si>
  <si>
    <t>04|Q4|Early Stage</t>
  </si>
  <si>
    <t>MRV approach: how are fuel use and stove usage actually measured?</t>
  </si>
  <si>
    <t>Metered/measured monitoring designed into the device and the data pipeline before deployment: the decision that determines credit integrity for the project's life.</t>
  </si>
  <si>
    <t>Survey/KPT-based monitoring with a robust sampling design and a stated path to metering.</t>
  </si>
  <si>
    <t>Usage to be assumed or defaulted with no field measurement designed in: an over-crediting outcome chosen at the design stage.</t>
  </si>
  <si>
    <t>04|Q4|Growth Stage</t>
  </si>
  <si>
    <t>Fuel use measured directly through metered/measured monitoring (digital or IoT): the basis for the highest-integrity credits.</t>
  </si>
  <si>
    <t>Usage established through periodic surveys or kitchen performance tests with robust sampling.</t>
  </si>
  <si>
    <t>Adoption and usage assumed or defaulted with no field measurement: usually results in over-crediting.</t>
  </si>
  <si>
    <t>04|Q4|Scale</t>
  </si>
  <si>
    <t>Metered/measured monitoring across the portfolio with data integrity independently reviewed; MRV cost per credit tracked and falling; data pipeline able to support buyer and rating-agency scrutiny on demand.</t>
  </si>
  <si>
    <t>Metered in newer projects but survey-based in older projects still material to issuance.</t>
  </si>
  <si>
    <t>Defaulted or assumed usage at portfolio scale: the credits are unlikely to survive the next methodology review.</t>
  </si>
  <si>
    <t>04|Q5|Early Stage</t>
  </si>
  <si>
    <t>fNRB and additionality: what fraction of non-renewable biomass is assumed, how is it derived, and does the project genuinely depend on carbon finance?</t>
  </si>
  <si>
    <t>MoFuSS-derived fNRB (the CCP condition) commissioned or planned before registration, expected &lt;0.5; additionality argument documented at design, not retrofitted.</t>
  </si>
  <si>
    <t>fNRB between 0.5 and the ~0.86 pre-reform average with documented justification and a MoFuSS derivation planned.</t>
  </si>
  <si>
    <t>04|Q5|Growth Stage</t>
  </si>
  <si>
    <t>fNRB derived via MoFuSS (the CCP condition), typically yielding below 0.5, and the project can demonstrate it would not have proceeded without carbon finance.</t>
  </si>
  <si>
    <t>fNRB between 0.5 and the ~0.86 pre-reform market average, with documented justification; additionality credible but methodology exposed to revision.</t>
  </si>
  <si>
    <t>Default fNRB at or above ~0.86 with no site-specific derivation, or weak additionality: high retroactive volume-reduction risk.</t>
  </si>
  <si>
    <t>04|Q5|Scale</t>
  </si>
  <si>
    <t>MoFuSS-derived fNRB across all projects, typically &lt;0.5, with the revenue impact of the reform already absorbed into reported results; additionality documented and defensible against a mature commercial device business.</t>
  </si>
  <si>
    <t>Mixed derivation across the portfolio, or an additionality argument weakening as the device business becomes commercially self-sustaining.</t>
  </si>
  <si>
    <t>Portfolio revenue depends on fNRB assumptions at or above ~0.86: a known retroactive volume-reduction exposure carried at scale.</t>
  </si>
  <si>
    <t>04|Q6|Early Stage</t>
  </si>
  <si>
    <t>Verification track record: how many full cycles completed, and did issued volumes match projections?</t>
  </si>
  <si>
    <t>Registration in progress with the verification pathway defined but no VVB engaged or timeline fixed.</t>
  </si>
  <si>
    <t>04|Q6|Growth Stage</t>
  </si>
  <si>
    <t>Verified issuance across ≥2 consecutive cycles with issued volumes consistent with projections: MRV integrity and buyer confidence.</t>
  </si>
  <si>
    <t>One cycle underway, but no verified result yet produced.</t>
  </si>
  <si>
    <t>No verification cycle completed: credit volumes unproven.</t>
  </si>
  <si>
    <t>04|Q6|Scale</t>
  </si>
  <si>
    <t>Multi-year issuance history across projects with issued volumes consistently within a narrow band of projection; variance explained; no material restatement or rejected issuance.</t>
  </si>
  <si>
    <t>Issuance history exists but volumes have missed projections in recent cycles, or one project has driven a material shortfall.</t>
  </si>
  <si>
    <t>Issuance materially and repeatedly below projection at portfolio scale: the MRV, not the market, is the problem.</t>
  </si>
  <si>
    <t>04|Q7|Early Stage</t>
  </si>
  <si>
    <t>A letter of intent or forward agreement with an identified creditworthy buyer, with the price mechanism and delivery obligations understood before capital is committed against future credits.</t>
  </si>
  <si>
    <t>Capital being raised against forward credit sales to buyers who have not been identified.</t>
  </si>
  <si>
    <t>04|Q7|Growth Stage</t>
  </si>
  <si>
    <t>Creditworthy buyer contracted under a forward offtake with a price floor and a diversified buyer book.</t>
  </si>
  <si>
    <t>Single buyer and no price floor.</t>
  </si>
  <si>
    <t>No offtake: full exposure to spot prices.</t>
  </si>
  <si>
    <t>04|Q7|Scale</t>
  </si>
  <si>
    <t>Contracted but concentrated in one or two buyers, or floors set below the economic cost of delivery.</t>
  </si>
  <si>
    <t>Uncontracted spot exposure at a scale that is financing the device business: carbon price becomes the company's solvency variable.</t>
  </si>
  <si>
    <t>04|Q8|Early Stage</t>
  </si>
  <si>
    <t>04|Q8|Growth Stage</t>
  </si>
  <si>
    <t>04|Q8|Scale</t>
  </si>
  <si>
    <t>04|Q9|Early Stage</t>
  </si>
  <si>
    <t>Compliance/Article 6 pricing in the base case at design stage, before the host government has even been approached.</t>
  </si>
  <si>
    <t>04|Q9|Growth Stage</t>
  </si>
  <si>
    <t>Compliance pricing treated as upside only; VCM pricing as the base case pending an LoA.</t>
  </si>
  <si>
    <t>04|Q9|Scale</t>
  </si>
  <si>
    <t>Compliance pricing embedded in a portfolio and its financing without LoAs: precisely the exposure that ended KOKO in January 2026.</t>
  </si>
  <si>
    <t>04|Q10|Early Stage</t>
  </si>
  <si>
    <t>Neither in-house carbon/MRV capability nor a credible partner: the enterprise is taking on the sector's most complex model without its core skill.</t>
  </si>
  <si>
    <t>04|Q10|Growth Stage</t>
  </si>
  <si>
    <t>No real in-house carbon/MRV capability and no credible partner: carbon development adds complexity the team cannot manage.</t>
  </si>
  <si>
    <t>04|Q10|Scale</t>
  </si>
  <si>
    <t>Portfolio managed by a small carbon team with key-person concentration, or offtake origination dependent on one relationship.</t>
  </si>
  <si>
    <t>Portfolio-scale carbon obligations managed without a dedicated carbon function: verification and delivery failures become structural.</t>
  </si>
  <si>
    <t>04|Q11|Early Stage</t>
  </si>
  <si>
    <t>Q11</t>
  </si>
  <si>
    <t>Management accounts reliable and reconciled; ≥6 months runway or a signed term sheet; clean cap table; carbon rights and project ownership documented before any partner deploys capital.</t>
  </si>
  <si>
    <t>Bookkeeping informal but reconstructable; ~3-6 months runway; carbon rights documented in principle but not fully executed.</t>
  </si>
  <si>
    <t>No reliable books, runway &lt;3 months, or carbon rights/project ownership unresolved: the asset may not belong to the company being financed.</t>
  </si>
  <si>
    <t>04|Q11|Growth Stage</t>
  </si>
  <si>
    <t>04|Q11|Scale</t>
  </si>
  <si>
    <t>Clean audit across ≥2 years with a stated carbon revenue-recognition policy; independent board with risk oversight of carbon exposure; project ownership and carbon rights clean across the portfolio; covenant and impact reporting routine.</t>
  </si>
  <si>
    <t>Qualified audit, unresolved carbon rights in material projects, or a structure that obscures where the carbon obligations sit.</t>
  </si>
  <si>
    <t>05|Q1|Early Stage</t>
  </si>
  <si>
    <t>05 Infrastructure Utility</t>
  </si>
  <si>
    <t>Revenue model: are revenues anchored by institutional offtake or exposed to merchant cooking demand, and on what terms?</t>
  </si>
  <si>
    <t>No anchor identified; the project is being developed on projected household cooking demand alone: the archetype's most common failure, chosen at the outset.</t>
  </si>
  <si>
    <t>05|Q1|Growth Stage</t>
  </si>
  <si>
    <t>Creditworthy anchor (school, hospital, business, UNHCR/WFP) on a multi-year contract with guaranteed volume and tariff escalation: a contracted revenue base that comfortably services infrastructure debt; household income is upside.</t>
  </si>
  <si>
    <t>No secured anchor contract; revenue relies mainly on projected household cooking demand: too uncertain to support long-term debt.</t>
  </si>
  <si>
    <t>05|Q1|Scale</t>
  </si>
  <si>
    <t>Portfolio-wide anchor contracting with take-or-pay or guaranteed-volume terms, escalation and termination protection; DSCR sized on contracted anchor revenue alone across the portfolio, with cooking load as merchant upside.</t>
  </si>
  <si>
    <t>Anchors in place at most sites but with weaker terms or lower coverage at the newest sites now material to portfolio revenue.</t>
  </si>
  <si>
    <t>Portfolio debt sized against household/cooking demand rather than contracted anchor revenue: merchant risk carried at infrastructure leverage.</t>
  </si>
  <si>
    <t>05|Q2|Early Stage</t>
  </si>
  <si>
    <t>Revenue realism: are assumptions about how much energy each customer buys grounded in real mini-grid data?</t>
  </si>
  <si>
    <t>Consumption assumptions at or below the African mini-grid average of ~6.1 kWh/user/month (AMDA) unless a site-specific productive-use case justifies more; the model does not assume revenue per user rises with installed capacity (AMDA finds no such correlation).</t>
  </si>
  <si>
    <t>Assumptions above the benchmark with only partial justification from comparable sites.</t>
  </si>
  <si>
    <t>Assumptions well above observed levels with no anchor or productive-use load to support them: the revenue line is aspirational.</t>
  </si>
  <si>
    <t>05|Q2|Growth Stage</t>
  </si>
  <si>
    <t>Consumption per customer in line with the African mini-grid average of ~6.1 kWh/user/month (AMDA); model does not assume revenue per user rises simply because more capacity is installed.</t>
  </si>
  <si>
    <t>Consumption or revenue-per-user assumptions above the benchmark with only partial justification.</t>
  </si>
  <si>
    <t>Assumptions well above observed levels, with no anchor or productive-use load to support them.</t>
  </si>
  <si>
    <t>05|Q2|Scale</t>
  </si>
  <si>
    <t>05|Q3|Early Stage</t>
  </si>
  <si>
    <t>Surveys done but adoption assumptions optimistic relative to comparable-site evidence, or not gender-disaggregated.</t>
  </si>
  <si>
    <t>Demand assumed from population counts or headline uptake rates not seen in comparable projects: the most common source of revenue shortfall in this archetype.</t>
  </si>
  <si>
    <t>05|Q3|Growth Stage</t>
  </si>
  <si>
    <t>Demand built bottom-up from local surveys and comparable sites, with conservative, evidence-based eCooking adoption assumptions.</t>
  </si>
  <si>
    <t>Adoption assumptions optimistic with limited supporting evidence.</t>
  </si>
  <si>
    <t>05|Q3|Scale</t>
  </si>
  <si>
    <t>Method improved but forecast-to-actual variance still material and not yet fed back into new-site underwriting.</t>
  </si>
  <si>
    <t>Portfolio-wide adoption shortfall against forecast with the same method still applied to the expansion pipeline.</t>
  </si>
  <si>
    <t>05|Q4|Early Stage</t>
  </si>
  <si>
    <t>Capital cost: is the cost to build realistic against actual African mini-grid costs?</t>
  </si>
  <si>
    <t>Cost estimated from benchmarks rather than quotes, with a plausible but unproven reduction plan.</t>
  </si>
  <si>
    <t>Build cost well above benchmark with no path to reduction, or not benchmarked at all.</t>
  </si>
  <si>
    <t>05|Q4|Growth Stage</t>
  </si>
  <si>
    <t>Build cost above the benchmark, with a plausible but unproven reduction plan.</t>
  </si>
  <si>
    <t>Build cost well above the benchmark with no credible path to reduction.</t>
  </si>
  <si>
    <t>05|Q4|Scale</t>
  </si>
  <si>
    <t>At benchmark but with the cost-down curve flattened, or costs achieved only through concessional inputs that will not repeat.</t>
  </si>
  <si>
    <t>05|Q5|Early Stage</t>
  </si>
  <si>
    <t>Reliability: how reliably does the system deliver power, and is uptime tracked?</t>
  </si>
  <si>
    <t>Uptime aspiration stated with no monitoring design or O&amp;M staffing plan.</t>
  </si>
  <si>
    <t>05|Q5|Growth Stage</t>
  </si>
  <si>
    <t>Uptime moderate (90-95%) or measured inconsistently.</t>
  </si>
  <si>
    <t>Uptime poor (&lt;90%) or not measured.</t>
  </si>
  <si>
    <t>05|Q5|Scale</t>
  </si>
  <si>
    <t>≥95% uptime sustained across the portfolio and reported by site with SAIDI/SAIFI; reliability protected by spares strategy and O&amp;M staffing, and evidenced in anchor-contract compliance.</t>
  </si>
  <si>
    <t>≥95% in aggregate but with underperforming sites masked by portfolio averaging.</t>
  </si>
  <si>
    <t>Uptime below 90% at sites carrying anchor contracts: penalty and termination exposure, not just an operating issue.</t>
  </si>
  <si>
    <t>05|Q6|Early Stage</t>
  </si>
  <si>
    <t>O&amp;M reserves: is there a funded reserve for component replacement (inverters, batteries, distribution) over the 15-20-year asset life?</t>
  </si>
  <si>
    <t>Component replacement schedule and reserve mechanism designed into the financial model and the funding structure before financial close: not left to be added later.</t>
  </si>
  <si>
    <t>Replacement costs in the model but no reserve mechanism or funding source identified.</t>
  </si>
  <si>
    <t>Replacement and maintenance costs left out of the model: a common reason mini-grid returns disappoint over time.</t>
  </si>
  <si>
    <t>05|Q6|Growth Stage</t>
  </si>
  <si>
    <t>Reserve only partial, or unfunded.</t>
  </si>
  <si>
    <t>Replacement and maintenance costs left out of the model.</t>
  </si>
  <si>
    <t>05|Q6|Scale</t>
  </si>
  <si>
    <t>Reserve funded at some sites or behind schedule, with a catch-up plan.</t>
  </si>
  <si>
    <t>Reserves unfunded across an operating portfolio approaching first major replacement: a known, dated cash-flow cliff.</t>
  </si>
  <si>
    <t>05|Q7|Early Stage</t>
  </si>
  <si>
    <t>Tariff regulation: is the price charged enough to cover costs, and can it be adjusted over time?</t>
  </si>
  <si>
    <t>Tariff assumed from comparable projects with no regulatory confirmation, or cost-reflective only at optimistic demand.</t>
  </si>
  <si>
    <t>05|Q7|Growth Stage</t>
  </si>
  <si>
    <t>Tariff cost-reflective, with a clear, predictable adjustment process.</t>
  </si>
  <si>
    <t>Tariff below cost of supply, or adjustment process uncertain.</t>
  </si>
  <si>
    <t>Tariff does not cover cost of supply and no adjustment mechanism: structurally loss-making.</t>
  </si>
  <si>
    <t>05|Q7|Scale</t>
  </si>
  <si>
    <t>Cost-reflective but with adjustment applications delayed, or a policy review underway that could compress tariffs.</t>
  </si>
  <si>
    <t>Portfolio operating below cost-reflectivity with no adjustment obtained: losses compound across a 15-20-year asset life.</t>
  </si>
  <si>
    <t>05|Q8|Early Stage</t>
  </si>
  <si>
    <t>Currency match: in what currency is the debt denominated versus tariff collection, and how is the mismatch managed?</t>
  </si>
  <si>
    <t>Currency strategy decided before financial close (local-currency debt, a hedge such as TCX, or a guarantee such as InfraCredit), with its cost included in the model.</t>
  </si>
  <si>
    <t>05|Q8|Growth Stage</t>
  </si>
  <si>
    <t>Currency strategy decided before financial close (local-currency debt, a hedge such as TCX, or a guarantee such as InfraCredit), with its cost included in the model.</t>
  </si>
  <si>
    <t>Hard-currency debt with partial hedging or indexation, with the residual exposure quantified.</t>
  </si>
  <si>
    <t>05|Q8|Scale</t>
  </si>
  <si>
    <t>Matched on new facilities but a legacy hard-currency tranche remains unhedged, with the exposure quantified.</t>
  </si>
  <si>
    <t>Material unhedged hard-currency debt against local-currency tariffs at portfolio scale: depreciation alone can breach DSCR.</t>
  </si>
  <si>
    <t>05|Q9|Early Stage</t>
  </si>
  <si>
    <t>Development and engineering present but O&amp;M or project-finance capability only an intention.</t>
  </si>
  <si>
    <t>No demonstrated build-and-operate or project-finance capability for long-life infrastructure: a venture team attempting an infrastructure business.</t>
  </si>
  <si>
    <t>05|Q9|Growth Stage</t>
  </si>
  <si>
    <t>Project development + engineering/EPC + O&amp;M + project-finance/regulatory experience, with a built-and-operated track record.</t>
  </si>
  <si>
    <t>Development and engineering present, but O&amp;M or project-finance capability thin.</t>
  </si>
  <si>
    <t>No demonstrated build-and-operate or project-finance capability for long-life infrastructure.</t>
  </si>
  <si>
    <t>05|Q9|Scale</t>
  </si>
  <si>
    <t>Capable across the portfolio but with key-person concentration in project finance or regulatory affairs.</t>
  </si>
  <si>
    <t>Portfolio-scale assets run without an institutional O&amp;M or project-finance function: the asset life outruns the team's capacity.</t>
  </si>
  <si>
    <t>05|Q10|Early Stage</t>
  </si>
  <si>
    <t>Bookkeeping informal; ~3-6 months runway; land rights or permits in progress.</t>
  </si>
  <si>
    <t>No reliable books, runway &lt;3 months, or unresolved land/permit/SPV issues: the asset cannot be securely financed.</t>
  </si>
  <si>
    <t>05|Q10|Growth Stage</t>
  </si>
  <si>
    <t>05|Q10|Scale</t>
  </si>
  <si>
    <t>Audited with management-letter points, or SPV-level reporting that requires manual consolidation for lenders.</t>
  </si>
  <si>
    <t>Qualified audit, covenant reporting the company cannot produce on time, or a structure that obscures where project liabilities sit.</t>
  </si>
  <si>
    <t>Key (archetype|stage)</t>
  </si>
  <si>
    <t>01|Early Stage</t>
  </si>
  <si>
    <t>Catalytic grant (with TA)</t>
  </si>
  <si>
    <t>01|Growth Stage</t>
  </si>
  <si>
    <t>First-loss guarantee on the working capital facility; cost-parity pathway evidenced whether the product is manufactured, assembled or imported (Tool 01B Q4). For fuel manufacturers, the facility also funds feedstock purchasing and should be sized against feedstock price/seasonality.</t>
  </si>
  <si>
    <t>01|Scale</t>
  </si>
  <si>
    <t>Export credit agency cover; FX hedging on imported inputs; audited financials; carbon integration managed internally with verified issuance history.</t>
  </si>
  <si>
    <t>02|Early Stage</t>
  </si>
  <si>
    <t>Milestone-linked tranche tied to active-user targets; MFI partnership for the credit function.</t>
  </si>
  <si>
    <t>02|Growth Stage</t>
  </si>
  <si>
    <t>Blended finance (patient debt + first-loss + RBF)</t>
  </si>
  <si>
    <t>First-loss guarantee sized to cohort churn risk (typically 15-25% of facility); results-based finance layer; active-customer cohort verification per PAYGo PERFORM v3 KPIs (Repayment Rate, Customer Ownership Rate).</t>
  </si>
  <si>
    <t>02|Scale</t>
  </si>
  <si>
    <t>Commercial debt / receivables finance + carbon pre-finance</t>
  </si>
  <si>
    <t>03|Early Stage</t>
  </si>
  <si>
    <t>TA grant</t>
  </si>
  <si>
    <t>Grant for network recruitment, training, and the digital agent-tracking platform (a precondition for later debt).</t>
  </si>
  <si>
    <t>Output-linked to verified agent activations; agent baseline proven.</t>
  </si>
  <si>
    <t>03|Growth Stage</t>
  </si>
  <si>
    <t>Results-based financing + agent stock-finance guarantee + growth equity / mezzanine (platform and geographic expansion)</t>
  </si>
  <si>
    <t>RBF per verified sale originated; guarantee de-risks agent stock-credit extension by MFIs.</t>
  </si>
  <si>
    <t>03|Scale</t>
  </si>
  <si>
    <t>Blended finance</t>
  </si>
  <si>
    <t>Network performance covenants; agent attrition stable; throughput concentration managed (top 20% of agents &lt;50-70% of volume).</t>
  </si>
  <si>
    <t>04|Early Stage</t>
  </si>
  <si>
    <t>Equity for project development; grant for MRV setup and registry registration under a CCP-approved methodology.</t>
  </si>
  <si>
    <t>04|Growth Stage</t>
  </si>
  <si>
    <t>04|Scale</t>
  </si>
  <si>
    <t>Structured facility against audited credit issuance history and forward book.</t>
  </si>
  <si>
    <t>05|Early Stage</t>
  </si>
  <si>
    <t>Development grant + TA</t>
  </si>
  <si>
    <t>Government anchor-tenant MOU; DFI technical assistance.</t>
  </si>
  <si>
    <t>05|Growth Stage</t>
  </si>
  <si>
    <t>Concessional long-tenor DFI debt.</t>
  </si>
  <si>
    <t>DFI co-investment; anchor-tenant offtake contract; demand forecast independently validated against AMDA consumption benchmarks (~6.1 kWh/user/month).</t>
  </si>
  <si>
    <t>05|Scale</t>
  </si>
  <si>
    <t>Infrastructure debt (commercial + concessional)</t>
  </si>
  <si>
    <t>Senior secured long-tenor facility against tariff revenue and anchor contracts.</t>
  </si>
  <si>
    <t>Regulated tariff framework; government guarantee on anchor payments; O&amp;M reserve fully funded; local-currency solution or hedge for the debt/tariff currency mismatch.</t>
  </si>
  <si>
    <t>Archetype:</t>
  </si>
  <si>
    <t>Stage:</t>
  </si>
  <si>
    <t>Rating:</t>
  </si>
  <si>
    <t>GO</t>
  </si>
  <si>
    <t>key →</t>
  </si>
  <si>
    <t>Key (arch|stage|rating)</t>
  </si>
  <si>
    <t>Archetype / stage / rating</t>
  </si>
  <si>
    <t>01|Early Stage|GO</t>
  </si>
  <si>
    <t>01 Product Seller
Early Stage
GO</t>
  </si>
  <si>
    <t>The pilot evidence supports proceeding: the model is investable at its stage.</t>
  </si>
  <si>
    <t>01|Early Stage|HOLD &amp; STRUCTURE</t>
  </si>
  <si>
    <t>01 Product Seller
Early Stage
HOLD &amp; STRUCTURE</t>
  </si>
  <si>
    <t>The model is promising but one or two design gaps must be structured around before capital moves.</t>
  </si>
  <si>
    <t>Convert assumptions into tests: replace indicative quotes with real procurement quotes; define and fund the commercial-price pilot with a date; name (and cost) the supply-chain or commercial hire; put the warranty policy and gender-disaggregated data plan on paper before scale forecloses them.</t>
  </si>
  <si>
    <t>Structure the catalytic grant in tranches against exactly those milestones: pilot completed at commercial price, BOM verified, key hire made. TA funding is the natural instrument for the capability gaps; hold equity until the pilot reads out.</t>
  </si>
  <si>
    <t>Re-score Tool 01B when the tranche milestones are met, typically 3-6 months. If the pilot fails at commercial price, that is a model finding, not a delay.</t>
  </si>
  <si>
    <t>01|Early Stage|NO-GO PENDING RESOLUTION</t>
  </si>
  <si>
    <t>01 Product Seller
Early Stage
NO-GO PENDING RESOLUTION</t>
  </si>
  <si>
    <t>Rework the model before reworking the pitch: establish a real willingness-to-pay test, however small; rebuild the plan to breakeven on device/fuel revenue alone; if the economics only work with subsidy, redesign the product cost or the segment, not the funding narrative.</t>
  </si>
  <si>
    <t>01|Growth Stage|GO</t>
  </si>
  <si>
    <t>01 Product Seller
Growth Stage
GO</t>
  </si>
  <si>
    <t>Diligence supports investment: the business fits its archetype and its stage.</t>
  </si>
  <si>
    <t>Strengthen terms rather than fix gaps: extend the paying-revenue evidence to a third market; keep the cost-down curve documented quarter by quarter; complete the migration of any credits to a CCP methodology; convert gender data collection into 2X qualification to widen the capital pool.</t>
  </si>
  <si>
    <t>01|Growth Stage|HOLD &amp; STRUCTURE</t>
  </si>
  <si>
    <t>01 Product Seller
Growth Stage
HOLD &amp; STRUCTURE</t>
  </si>
  <si>
    <t>Sequence the fixes: put the donor-to-commercial revenue transition on a dated plan with named replacement contracts; tie production-volume milestones to the contribution-margin turn; evidence the cost-parity path with a signed procurement or design change, not a projection; reserve warranty on field data.</t>
  </si>
  <si>
    <t>01|Growth Stage|NO-GO PENDING RESOLUTION</t>
  </si>
  <si>
    <t>01 Product Seller
Growth Stage
NO-GO PENDING RESOLUTION</t>
  </si>
  <si>
    <t>Address the cause, not the symptom: rebase pricing and cost to a commercially viable unit before growing volume; treat the donor pipeline as bridge revenue with an explicit expiry plan; if carbon is holding up the P&amp;L, restructure so the device business stands alone before adding carbon back as surplus.</t>
  </si>
  <si>
    <t>Investment instruments are off the table; if the relationship warrants it, RBF strictly against verified commercially-priced sales (paying only for what the model needs to prove) or TA is the limit of prudent engagement.</t>
  </si>
  <si>
    <t>Re-engage after two consecutive quarters showing positive unit contribution without subsidy and a rising paying-customer share; re-run the full Tool 01B section, not only the failed questions.</t>
  </si>
  <si>
    <t>01|Scale|GO</t>
  </si>
  <si>
    <t>01 Product Seller
Scale
GO</t>
  </si>
  <si>
    <t>The business is durable and bankable: diligence supports commercial-terms investment at scale.</t>
  </si>
  <si>
    <t>01|Scale|HOLD &amp; STRUCTURE</t>
  </si>
  <si>
    <t>01 Product Seller
Scale
HOLD &amp; STRUCTURE</t>
  </si>
  <si>
    <t>Institutional in most respects, but specific weaknesses must be structured before commercial terms are justified.</t>
  </si>
  <si>
    <t>Close the institutional gaps: contract the replacement pipeline for the concentrated counterparty; commission the vintage-level warranty analysis and true-up reserves; complete the CFO-grade finance build; lock input-cost or duty advantages contractually where the parity depends on them.</t>
  </si>
  <si>
    <t>Debt remains available but structured: tighter covenants on concentration and margin, a modest first-loss or guarantee layer priced to fall away as conditions are met, tenor matched to the demonstrated (not projected) cash cycle.</t>
  </si>
  <si>
    <t>Covenant-linked re-rating: as each structural condition is evidenced in the next audited period, pricing steps down. Full commercial terms on a clean re-score.</t>
  </si>
  <si>
    <t>01|Scale|NO-GO PENDING RESOLUTION</t>
  </si>
  <si>
    <t>01 Product Seller
Scale
NO-GO PENDING RESOLUTION</t>
  </si>
  <si>
    <t>Scale has been reached without the durability the model promised: pause and repair before any new capital.</t>
  </si>
  <si>
    <t>New money should be restructuring capital only, if at all, typically a controlled facility with step-in rights, or a strategic process. The Tool 02 growth instruments would add leverage to a model that has not earned it.</t>
  </si>
  <si>
    <t>02|Early Stage|GO</t>
  </si>
  <si>
    <t>02 Access Provider
Early Stage
GO</t>
  </si>
  <si>
    <t>The design is right: credit risk is located, data architecture is cohort-ready, and the plan survives without carbon.</t>
  </si>
  <si>
    <t>02|Early Stage|HOLD &amp; STRUCTURE</t>
  </si>
  <si>
    <t>02 Access Provider
Early Stage
HOLD &amp; STRUCTURE</t>
  </si>
  <si>
    <t>The model is coherent but the credit and data plumbing is not yet built to match the ambition.</t>
  </si>
  <si>
    <t>Re-score when the first cohort shows 90-day repayment in line with the underwriting assumption (the strongest early predictor GOGLA identifies), typically after 4-6 months.</t>
  </si>
  <si>
    <t>02|Early Stage|NO-GO PENDING RESOLUTION</t>
  </si>
  <si>
    <t>02 Access Provider
Early Stage
NO-GO PENDING RESOLUTION</t>
  </si>
  <si>
    <t>No investment instrument fits; TA to design the credit function and data architecture is the only prudent engagement, explicitly conditioned on deployment pausing meanwhile.</t>
  </si>
  <si>
    <t>02|Growth Stage|GO</t>
  </si>
  <si>
    <t>02 Access Provider
Growth Stage
GO</t>
  </si>
  <si>
    <t>02|Growth Stage|HOLD &amp; STRUCTURE</t>
  </si>
  <si>
    <t>02 Access Provider
Growth Stage
HOLD &amp; STRUCTURE</t>
  </si>
  <si>
    <t>Structure conservatively: smaller first tranche, first-loss at the top of the 15-25% range, RBF weighted over debt, drawdowns conditional on cohort KPIs holding. Do not finance customer acquisition ahead of the churn fix: that buys more of the problem.</t>
  </si>
  <si>
    <t>Re-score on two consecutive quarters of improving cohort repayment and active rates; the HOLD converts when the intervention shows up in the vintages, typically 6-12 months.</t>
  </si>
  <si>
    <t>02|Growth Stage|NO-GO PENDING RESOLUTION</t>
  </si>
  <si>
    <t>02 Access Provider
Growth Stage
NO-GO PENDING RESOLUTION</t>
  </si>
  <si>
    <t>Do not lend into this book: repayment or churn is below the level at which recurring revenue is real.</t>
  </si>
  <si>
    <t>Re-engage when a post-fix cohort completes 12 months above the 72% sector average and reconciliation is routine; re-run the full Tool 01B section on the new-vintage data only.</t>
  </si>
  <si>
    <t>02|Scale|GO</t>
  </si>
  <si>
    <t>02 Access Provider
Scale
GO</t>
  </si>
  <si>
    <t>The book is refinanceable: cohort performance is institutional-grade across markets and vintages.</t>
  </si>
  <si>
    <t>02|Scale|HOLD &amp; STRUCTURE</t>
  </si>
  <si>
    <t>02 Access Provider
Scale
HOLD &amp; STRUCTURE</t>
  </si>
  <si>
    <t>Scale-grade in the core market, but the book is not yet uniform enough to carry commercial leverage everywhere.</t>
  </si>
  <si>
    <t>Make the book homogeneous or fence it: bring new-market underwriting to home-market standard or ring-fence those cohorts from the leveraged pool; true-up provisioning to vintage reality before an auditor or lender does; staff the credit function to the markets it actually covers.</t>
  </si>
  <si>
    <t>Facility-linked re-rating as new-market vintages complete 12-24 months at benchmark; a clean re-score across the whole book unlocks the single commercial facility.</t>
  </si>
  <si>
    <t>02|Scale|NO-GO PENDING RESOLUTION</t>
  </si>
  <si>
    <t>02 Access Provider
Scale
NO-GO PENDING RESOLUTION</t>
  </si>
  <si>
    <t>A large book with weak fundamentals is a solvency problem, not a growth problem: restructure before any new capital.</t>
  </si>
  <si>
    <t>Restructure the balance sheet around the true book: independent portfolio review, honest re-provisioning, renegotiation with existing lenders before covenants force it; halt expansion; rebuild collections market by market; strip carbon out of debt service entirely.</t>
  </si>
  <si>
    <t>Only restructuring capital is appropriate, typically alongside existing lenders with enhanced security and step-in rights. New growth instruments from Tool 02 would leverage an unmeasured risk.</t>
  </si>
  <si>
    <t>Re-engagement follows an independently reviewed clean book: reconciled, re-provisioned, with post-restructuring vintages at benchmark for 12 months, then a full re-screen from Tool 01A.</t>
  </si>
  <si>
    <t>03|Early Stage|GO</t>
  </si>
  <si>
    <t>03 Network Distributor
Early Stage
GO</t>
  </si>
  <si>
    <t>The network design is sound: agent economics are costed against livelihoods, and the tracking exists before the recruitment drive.</t>
  </si>
  <si>
    <t>Protect the agent P&amp;L as you recruit: resist commission structures that look generous in a deck but dilute at volume; broaden the base deliberately rather than deepening reliance on pilot stars; keep the activity definition stable so the 30/90-day metric means something.</t>
  </si>
  <si>
    <t>03|Early Stage|HOLD &amp; STRUCTURE</t>
  </si>
  <si>
    <t>03 Network Distributor
Early Stage
HOLD &amp; STRUCTURE</t>
  </si>
  <si>
    <t>The opportunity is real, but the agent unit economics or the financing of their inventory is still an assumption.</t>
  </si>
  <si>
    <t>Test the unit before multiplying it: run a paid cohort of real agents and measure margin against the livelihood threshold; sign the MFI stock-finance partnership or write the parent-credit policy with limits; stand up the tracking system before the next recruitment wave, not after.</t>
  </si>
  <si>
    <t>Tranche the TA grant against exactly these proofs: agent cohort margin evidenced, stock-finance model signed, platform live. Hold any equity for the technology platform until the field economics read out.</t>
  </si>
  <si>
    <t>Re-score when one cohort has transacted for 90 days with measured margin and activity, typically 3-6 months. If agency only works as a side activity, redesign the commission before recruiting hundreds.</t>
  </si>
  <si>
    <t>03|Early Stage|NO-GO PENDING RESOLUTION</t>
  </si>
  <si>
    <t>03 Network Distributor
Early Stage
NO-GO PENDING RESOLUTION</t>
  </si>
  <si>
    <t>Do not build a network on an uncosted agent: the unit of this business has not been established.</t>
  </si>
  <si>
    <t>No instrument fits until the unit is costed; design-stage TA to build and field-test the agent economics is the limit of prudent engagement.</t>
  </si>
  <si>
    <t>Re-screen once a costed, field-tested agent model exists; expect to re-enter at Early Stage with the HOLD/GO question turning on measured cohort margin.</t>
  </si>
  <si>
    <t>03|Growth Stage|GO</t>
  </si>
  <si>
    <t>03 Network Distributor
Growth Stage
GO</t>
  </si>
  <si>
    <t>Defend network health as you scale: watch margin per agent as geography expands; growth that dilutes agent earnings dissolves the network that produced it; keep female-agent productivity data flowing into recruitment (the outperformance evidence is on your side); manage concentration inside each geography, not just at portfolio level.</t>
  </si>
  <si>
    <t>Quarterly network-health reporting (activity, margin, attrition, satisfaction, concentration); re-run Tool 01B at Scale thresholds before seeking the structured throughput facility that Scale unlocks.</t>
  </si>
  <si>
    <t>03|Growth Stage|HOLD &amp; STRUCTURE</t>
  </si>
  <si>
    <t>03 Network Distributor
Growth Stage
HOLD &amp; STRUCTURE</t>
  </si>
  <si>
    <t>03|Growth Stage|NO-GO PENDING RESOLUTION</t>
  </si>
  <si>
    <t>03 Network Distributor
Growth Stage
NO-GO PENDING RESOLUTION</t>
  </si>
  <si>
    <t>The reported network is substantially notional or economically unviable: do not finance throughput that is not there.</t>
  </si>
  <si>
    <t>No throughput-based instrument is safe against unverifiable activity. TA for the platform and network restructuring is the limit; any RBF must pay per verified sale from digitally tracked agents only.</t>
  </si>
  <si>
    <t>Re-engage when a rebuilt cohort sustains ≥70% activity and livelihood-level margin for two quarters on auditable platform data; re-run the full section.</t>
  </si>
  <si>
    <t>03|Scale|GO</t>
  </si>
  <si>
    <t>03 Network Distributor
Scale
GO</t>
  </si>
  <si>
    <t>Lender-grade network reporting; annual re-screen; note this archetype has the thinnest institutional deal precedent of the five: a clean Scale GO here is itself a sector precedent worth documenting for the exit narrative.</t>
  </si>
  <si>
    <t>03|Scale|HOLD &amp; STRUCTURE</t>
  </si>
  <si>
    <t>03 Network Distributor
Scale
HOLD &amp; STRUCTURE</t>
  </si>
  <si>
    <t>Strong in the core geography, but scale has introduced unevenness the covenants would inherit.</t>
  </si>
  <si>
    <t>Facility-linked re-rating as each expansion geography reaches the core-market bands for two consecutive quarters.</t>
  </si>
  <si>
    <t>03|Scale|NO-GO PENDING RESOLUTION</t>
  </si>
  <si>
    <t>03 Network Distributor
Scale
NO-GO PENDING RESOLUTION</t>
  </si>
  <si>
    <t>At this size, a hollow or over-concentrated network is a franchise risk: repair the network before financing it further.</t>
  </si>
  <si>
    <t>Restructuring support only: no throughput or receivables facility against this data. Existing lenders should move to enhanced platform-based reporting immediately.</t>
  </si>
  <si>
    <t>04|Early Stage|GO</t>
  </si>
  <si>
    <t>04 Carbon Integrated Model
Early Stage
GO</t>
  </si>
  <si>
    <t>The project is designed for integrity from day one: the decisions that cannot be retrofitted have been made correctly.</t>
  </si>
  <si>
    <t>Protect the conservatism that earned the rating: register on schedule and hold the no-revenue-before-issuance discipline; keep the buyer conversation moving toward a signed LoI with a floor concept; document additionality now, while it is self-evident, not later when the device business matures.</t>
  </si>
  <si>
    <t>04|Early Stage|HOLD &amp; STRUCTURE</t>
  </si>
  <si>
    <t>04 Carbon Integrated Model
Early Stage
HOLD &amp; STRUCTURE</t>
  </si>
  <si>
    <t>The intent is right but the design is not yet fixed, and in this archetype the design decides the outcome.</t>
  </si>
  <si>
    <t>Re-score at registration submission: the point at which the design choices become fixed. Typically 4-8 months.</t>
  </si>
  <si>
    <t>04|Early Stage|NO-GO PENDING RESOLUTION</t>
  </si>
  <si>
    <t>04 Carbon Integrated Model
Early Stage
NO-GO PENDING RESOLUTION</t>
  </si>
  <si>
    <t>Redesign, do not reprice: restart methodology selection from CCP eligibility; commission a real fNRB derivation and accept what it does to volumes; rebuild the model at spot pricing and see if the device business survives: if it does not, this is a Product Seller question, not a carbon question.</t>
  </si>
  <si>
    <t>No instrument fits a project designed to fail its first serious review. Design-stage TA conditioned on abandoning the legacy pathway is the only defensible engagement.</t>
  </si>
  <si>
    <t>Re-screen once the project is redesigned on a CCP-eligible basis with honest fNRB and spot-price economics; the archetype classification itself may change if carbon was doing all the work.</t>
  </si>
  <si>
    <t>04|Growth Stage|GO</t>
  </si>
  <si>
    <t>04 Carbon Integrated Model
Growth Stage
GO</t>
  </si>
  <si>
    <t>04|Growth Stage|HOLD &amp; STRUCTURE</t>
  </si>
  <si>
    <t>04 Carbon Integrated Model
Growth Stage
HOLD &amp; STRUCTURE</t>
  </si>
  <si>
    <t>Match the structure to the gap: forward-purchase pre-financing only against the contracted portion; RBF for distribution; defer working-capital debt until the current verification cycle reads out. Any lender should take the floor price, not the projection, as its base.</t>
  </si>
  <si>
    <t>Re-score at the next verification result plus a signed floor: the two events that convert this profile. Typically one issuance cycle (6-12 months).</t>
  </si>
  <si>
    <t>04|Growth Stage|NO-GO PENDING RESOLUTION</t>
  </si>
  <si>
    <t>04 Carbon Integrated Model
Growth Stage
NO-GO PENDING RESOLUTION</t>
  </si>
  <si>
    <t>De-lever the model from carbon: rebuild device economics to stand alone (slower is survivable; dependent is not); complete a verification cycle before any revenue is booked against credits; strip compliance pricing from every model until the LoA is in hand; migrate the methodology now, absorbing the volume hit honestly.</t>
  </si>
  <si>
    <t>04|Scale|GO</t>
  </si>
  <si>
    <t>04 Carbon Integrated Model
Scale
GO</t>
  </si>
  <si>
    <t>A portfolio-grade carbon business: multi-project issuance history, diversified contracted offtake, and a device business that stands alone in audited accounts.</t>
  </si>
  <si>
    <t>04|Scale|HOLD &amp; STRUCTURE</t>
  </si>
  <si>
    <t>04 Carbon Integrated Model
Scale
HOLD &amp; STRUCTURE</t>
  </si>
  <si>
    <t>Portfolio-scale with a concentration or vintage tail that would infect a portfolio-level facility.</t>
  </si>
  <si>
    <t>Finance the clean core: facilities secured against CCP-methodology projects and contracted offtake only, with legacy vintages explicitly excluded from the borrowing base until migrated.</t>
  </si>
  <si>
    <t>Facility-linked re-rating as the migration completes and buyer concentration falls below the agreed threshold: verified at the next audited period.</t>
  </si>
  <si>
    <t>04|Scale|NO-GO PENDING RESOLUTION</t>
  </si>
  <si>
    <t>04 Carbon Integrated Model
Scale
NO-GO PENDING RESOLUTION</t>
  </si>
  <si>
    <t>Restructure before the market does it: bring lenders to the table on the true spot-price cash flows; separate the device business operationally and financially so it can survive the carbon workout; halt forward sales the portfolio cannot verifiably deliver; migrate or retire the exposed vintages.</t>
  </si>
  <si>
    <t>Restructuring capital only, structured around the device business's standalone cash flows with carbon treated as recovery upside. No instrument on the Tool 02 matrix applies until then.</t>
  </si>
  <si>
    <t>05|Early Stage|GO</t>
  </si>
  <si>
    <t>05 Infrastructure Utility
Early Stage
GO</t>
  </si>
  <si>
    <t>Hold the discipline through financial close: convert the anchor MOU to a contract with volume and escalation before construction capital draws; keep cooking load as merchant upside in every lender model; fund the O&amp;M reserve mechanism from day one rather than promising it later.</t>
  </si>
  <si>
    <t>05|Early Stage|HOLD &amp; STRUCTURE</t>
  </si>
  <si>
    <t>05 Infrastructure Utility
Early Stage
HOLD &amp; STRUCTURE</t>
  </si>
  <si>
    <t>A viable site with development gaps that are cheap to fix now and ruinous to fix after financial close.</t>
  </si>
  <si>
    <t>Continue with development grant/TA only, tranched against those closes: tariff confirmation, anchor heads of terms, validated demand study. Construction capital waits for all three.</t>
  </si>
  <si>
    <t>Re-score at the point of a signed anchor and confirmed tariff pathway: the two items that convert a site from speculative to financeable. Typically 6-12 months of development work.</t>
  </si>
  <si>
    <t>05|Early Stage|NO-GO PENDING RESOLUTION</t>
  </si>
  <si>
    <t>05 Infrastructure Utility
Early Stage
NO-GO PENDING RESOLUTION</t>
  </si>
  <si>
    <t>Do not commit development capital to a merchant-demand cooking project: this is the archetype's documented failure mode, chosen at the outset.</t>
  </si>
  <si>
    <t>Redevelop the project around contracted demand: find the anchor first (school, clinic, telecom tower, agri-processor, UNHCR/WFP) and size the asset to it; treat household cooking as the growth layer it is; resolve the tariff and land questions before spending on engineering.</t>
  </si>
  <si>
    <t>No instrument fits, including development grants, which would only fund a flawed premise further. If the site matters strategically, TA to identify and negotiate anchor demand is the constructive engagement.</t>
  </si>
  <si>
    <t>Re-screen when an anchor is at least at MOU stage and the tariff pathway is confirmed; until then the project is a concept, not a pipeline entry.</t>
  </si>
  <si>
    <t>05|Growth Stage|GO</t>
  </si>
  <si>
    <t>05 Infrastructure Utility
Growth Stage
GO</t>
  </si>
  <si>
    <t>DSCR and reserve-funding reporting to lender standard; re-run Tool 01B at Scale thresholds before portfolio-level financing: the Scale criteria test the portfolio, not the site.</t>
  </si>
  <si>
    <t>05|Growth Stage|HOLD &amp; STRUCTURE</t>
  </si>
  <si>
    <t>05 Infrastructure Utility
Growth Stage
HOLD &amp; STRUCTURE</t>
  </si>
  <si>
    <t>Firm the weak leg: extend or add anchor contracts until debt service is covered by contracted revenue alone; start funding the reserve now at whatever rate the cash flow allows; file the tariff adjustment and establish the precedent; quantify and close the residual FX gap.</t>
  </si>
  <si>
    <t>Debt remains available but shorter and smaller: size to contracted revenue only, with the merchant layer explicitly excluded from the base case; a DFI first-loss tranche (10-20%) is the appropriate bridge while the anchor book builds.</t>
  </si>
  <si>
    <t>Re-score when contracted revenue alone covers debt service at the target DSCR and the reserve is funding to schedule: the facility can then extend to full tenor.</t>
  </si>
  <si>
    <t>05|Growth Stage|NO-GO PENDING RESOLUTION</t>
  </si>
  <si>
    <t>05 Infrastructure Utility
Growth Stage
NO-GO PENDING RESOLUTION</t>
  </si>
  <si>
    <t>The revenue case is merchant demand wearing an infrastructure cost of capital: do not size debt against it.</t>
  </si>
  <si>
    <t>No long-tenor debt. Operating support, if any, should be grant/TA tied to anchor origination and tariff resolution; existing lenders should move to contracted-revenue-only DSCR monitoring immediately.</t>
  </si>
  <si>
    <t>05|Scale|GO</t>
  </si>
  <si>
    <t>05 Infrastructure Utility
Scale
GO</t>
  </si>
  <si>
    <t>Lender-grade portfolio reporting (DSCR, SAIDI/SAIFI, reserve funding, contracted-revenue share); annual re-screen; refinancing or yield-fund exit on the 7-15-year horizon.</t>
  </si>
  <si>
    <t>05|Scale|HOLD &amp; STRUCTURE</t>
  </si>
  <si>
    <t>05 Infrastructure Utility
Scale
HOLD &amp; STRUCTURE</t>
  </si>
  <si>
    <t>Portfolio facility on a defined perimeter: proven sites in, tail sites out until they meet the entry conditions; concessional or first-loss support only where it buys the tail's path in, not to blur the perimeter.</t>
  </si>
  <si>
    <t>Perimeter-expansion re-rating: each site enters the facility as it evidences the entry conditions across two reporting periods.</t>
  </si>
  <si>
    <t>05|Scale|NO-GO PENDING RESOLUTION</t>
  </si>
  <si>
    <t>05 Infrastructure Utility
Scale
NO-GO PENDING RESOLUTION</t>
  </si>
  <si>
    <t>Restructuring capital and lender workout only; concessional support, if available, should buy the restructuring (tenor extension, currency conversion), not defer it.</t>
  </si>
  <si>
    <t>How returns are generated</t>
  </si>
  <si>
    <t>Primary exit route(s)</t>
  </si>
  <si>
    <t>Note</t>
  </si>
  <si>
    <t>Strategic acquisition by a larger manufacturer or distributor, or trade sale to an industry participant.</t>
  </si>
  <si>
    <t>Expanding agent networks and increasing sales throughput without proportionate growth in fixed assets.</t>
  </si>
  <si>
    <t>Trade sale, secondary sale, or acquisition by a larger distributor seeking last-mile reach.</t>
  </si>
  <si>
    <t>Enterprise value depends on maintaining a productive and resilient agent network.</t>
  </si>
  <si>
    <t>Infrastructure-style returns: stable long-term cash flows and lower but more predictable yields.</t>
  </si>
  <si>
    <t>Capital layer</t>
  </si>
  <si>
    <t>What the verifiable evidence shows</t>
  </si>
  <si>
    <t>Return expectation &amp; basis</t>
  </si>
  <si>
    <t>Grants / RBF / TA (catalytic layer)</t>
  </si>
  <si>
    <t>Senior debt / fixed income</t>
  </si>
  <si>
    <t>Equity 
(Product Seller / Access Provider / Network Distributor)</t>
  </si>
  <si>
    <t>Infrastructure equity &amp; debt (Infrastructure Utility)</t>
  </si>
  <si>
    <t>Metric</t>
  </si>
  <si>
    <t>Amber</t>
  </si>
  <si>
    <t>Red</t>
  </si>
  <si>
    <t>Evidentiary basis</t>
  </si>
  <si>
    <t>Paying-customer share (across ≥2 markets)</t>
  </si>
  <si>
    <t>&gt;50%</t>
  </si>
  <si>
    <t>20-50%</t>
  </si>
  <si>
    <t>&lt;20%</t>
  </si>
  <si>
    <t>Indicative (KII)</t>
  </si>
  <si>
    <t>Field failure rate &amp; reserving</t>
  </si>
  <si>
    <t>&lt;5%; reserves set on field-return data</t>
  </si>
  <si>
    <t>5-10%</t>
  </si>
  <si>
    <t>&gt;10%, or reserves not field-based</t>
  </si>
  <si>
    <t>Unit contribution margin</t>
  </si>
  <si>
    <t>Positive without subsidy</t>
  </si>
  <si>
    <t>Negative</t>
  </si>
  <si>
    <t>At or below comparable products (including imports)</t>
  </si>
  <si>
    <t>~10-20% above, with path to parity</t>
  </si>
  <si>
    <t>Materially above, no path to parity</t>
  </si>
  <si>
    <t>Repayment Rate (% of contract value collected by 2x contract term)</t>
  </si>
  <si>
    <t>≥90% (top performers approach 100%)</t>
  </si>
  <si>
    <t>&lt;72% (below 60% = distress zone)</t>
  </si>
  <si>
    <t>Sourced: GOGLA PAYGo PERFORM v3, 2026 (solar proxy)</t>
  </si>
  <si>
    <t>Customer Ownership Rate (share completing payments to full ownership)</t>
  </si>
  <si>
    <t>≥85%</t>
  </si>
  <si>
    <t>70-85% (dataset average 78%)</t>
  </si>
  <si>
    <t>&lt;70%</t>
  </si>
  <si>
    <t>Sourced average: GOGLA PAYGo PERFORM v3; bands indicative</t>
  </si>
  <si>
    <t>Repayment Rate at 90 days (leading indicator)</t>
  </si>
  <si>
    <t>Strong early repayment, tracked by cohort</t>
  </si>
  <si>
    <t>Tracked but weakening in recent cohorts</t>
  </si>
  <si>
    <t>Sourced indicator: GOGLA; bands indicative</t>
  </si>
  <si>
    <t>Portfolio at risk &gt;30 days / write-off ratio</t>
  </si>
  <si>
    <t>Low and stable</t>
  </si>
  <si>
    <t>Elevated but provisioned</t>
  </si>
  <si>
    <t>Rising / under-provisioned</t>
  </si>
  <si>
    <t>Sourced: GOGLA + KII</t>
  </si>
  <si>
    <t>12-month active-customer rate (SaaP churn)</t>
  </si>
  <si>
    <t>≥80%</t>
  </si>
  <si>
    <t>60-80%</t>
  </si>
  <si>
    <t>&lt;60%</t>
  </si>
  <si>
    <t>Months for ARPU to recover device cost</t>
  </si>
  <si>
    <t>≤12</t>
  </si>
  <si>
    <t>12-36</t>
  </si>
  <si>
    <t>&gt;36</t>
  </si>
  <si>
    <t>Deposit &gt;10% of contract value; shorter contracts</t>
  </si>
  <si>
    <t>Deposit 5-10%</t>
  </si>
  <si>
    <t>Deposit &lt;5% (worst-performing cohorts in GOGLA data)</t>
  </si>
  <si>
    <t>Sourced: GOGLA PAYGo PERFORM Monitor</t>
  </si>
  <si>
    <t>Net margin per active agent / month</t>
  </si>
  <si>
    <t>≥ local primary-earner income threshold</t>
  </si>
  <si>
    <t>Supplements income; below primary-livelihood threshold</t>
  </si>
  <si>
    <t>Below viable livelihood</t>
  </si>
  <si>
    <t>Active agents transacting in last 30 days</t>
  </si>
  <si>
    <t>≥70%</t>
  </si>
  <si>
    <t>50-70%</t>
  </si>
  <si>
    <t>&lt;50%</t>
  </si>
  <si>
    <t>Default on parent stock credit</t>
  </si>
  <si>
    <t>&lt;5% and monitored</t>
  </si>
  <si>
    <t>&gt;10% or unmonitored</t>
  </si>
  <si>
    <t>Throughput concentration (top 20% of agents)</t>
  </si>
  <si>
    <t>&lt;50% of throughput, with contingency plan</t>
  </si>
  <si>
    <t>&gt;70%, no contingency</t>
  </si>
  <si>
    <t>Methodology tier</t>
  </si>
  <si>
    <t>GS-TPDDTEC v4.0 or Verra VM0050 v1.0; CCP-approved but conditionally, with residual over-crediting loopholes; confirm the ICVCM conditions (fNRB, charcoal, fuel-consumption) are met</t>
  </si>
  <si>
    <t>fNRB assumption (fraction of non-renewable biomass)</t>
  </si>
  <si>
    <t>0.5 to ~0.86 with documented site-specific justification</t>
  </si>
  <si>
    <t>Default ≥~0.86 (pre-reform market average) with no derivation</t>
  </si>
  <si>
    <t>Sourced: ICVCM conditions; Veyt / Carbon Market Watch analyses</t>
  </si>
  <si>
    <t>MRV approach</t>
  </si>
  <si>
    <t>Direct metered / measured monitoring</t>
  </si>
  <si>
    <t>Periodic surveys / kitchen performance tests with robust sampling</t>
  </si>
  <si>
    <t>Defaulted usage assumptions</t>
  </si>
  <si>
    <t>Sourced: Gill-Wiehl et al. (2024); ICVCM</t>
  </si>
  <si>
    <t>Sourced: MSCI Carbon Markets (2026); Abatable (2025); project disclosures</t>
  </si>
  <si>
    <t>Article 6 / LoA status</t>
  </si>
  <si>
    <t>Sourced: country LoAs; Gold Standard</t>
  </si>
  <si>
    <t>Sourced: AMDA</t>
  </si>
  <si>
    <t>Consumption (kWh/user/month)</t>
  </si>
  <si>
    <t>≥6 (continental average ~6.1)</t>
  </si>
  <si>
    <t>3-6</t>
  </si>
  <si>
    <t>&lt;3</t>
  </si>
  <si>
    <t>Sourced: AMDA (2020-2024 editions)</t>
  </si>
  <si>
    <t>CAPEX per kWp</t>
  </si>
  <si>
    <t>Above the African average with a credible reduction plan</t>
  </si>
  <si>
    <t>Well above with no path down</t>
  </si>
  <si>
    <t>Sourced: AMDA BAM Report 2024</t>
  </si>
  <si>
    <t>≤ ~733 (benchmark trajectory)</t>
  </si>
  <si>
    <t>733-1,555</t>
  </si>
  <si>
    <t>&gt; ~1,555</t>
  </si>
  <si>
    <t>Sourced: AMDA (per-connection bands from the 2020 edition, 2014-18 data; refresh against BAM 2024 regional figures)</t>
  </si>
  <si>
    <t>Service uptime</t>
  </si>
  <si>
    <t>High and tracked (≥95%; well-run sites report near-continuous uptime)</t>
  </si>
  <si>
    <t>90-95%</t>
  </si>
  <si>
    <t>&lt;90% or untracked</t>
  </si>
  <si>
    <t>Anchor-tenant offtake + O&amp;M reserve</t>
  </si>
  <si>
    <t>Secured offtake and fully funded O&amp;M reserve</t>
  </si>
  <si>
    <t>One of the two in place</t>
  </si>
  <si>
    <t>Neither</t>
  </si>
  <si>
    <t>Sourced: AMDA + KII</t>
  </si>
  <si>
    <t>Abbreviation</t>
  </si>
  <si>
    <t>Term</t>
  </si>
  <si>
    <t>INVESTMENT, FINANCE &amp; DEAL STRUCTURING</t>
  </si>
  <si>
    <t>ARPU</t>
  </si>
  <si>
    <t>Average Revenue Per User</t>
  </si>
  <si>
    <t>Average recurring revenue per active customer over a period; central to Access Provider unit economics.</t>
  </si>
  <si>
    <t>CAC</t>
  </si>
  <si>
    <t>Customer Acquisition Cost</t>
  </si>
  <si>
    <t>Total cost of acquiring one paying customer.</t>
  </si>
  <si>
    <t>CAPEX</t>
  </si>
  <si>
    <t>Capital Expenditure</t>
  </si>
  <si>
    <t>DD</t>
  </si>
  <si>
    <t>Due Diligence</t>
  </si>
  <si>
    <t>Structured pre-investment assessment of an enterprise.</t>
  </si>
  <si>
    <t>DFI</t>
  </si>
  <si>
    <t>Development Finance Institution</t>
  </si>
  <si>
    <t>DSCR</t>
  </si>
  <si>
    <t>Debt Service Coverage Ratio</t>
  </si>
  <si>
    <t>EBITDA</t>
  </si>
  <si>
    <t>Proxy for operating profitability.</t>
  </si>
  <si>
    <t>EBT</t>
  </si>
  <si>
    <t>Earnings Before Tax</t>
  </si>
  <si>
    <t>FX</t>
  </si>
  <si>
    <t>Foreign Exchange</t>
  </si>
  <si>
    <t>Currency risk arising from hard-currency debt against local-currency revenue.</t>
  </si>
  <si>
    <t>IRR</t>
  </si>
  <si>
    <t>Internal Rate of Return</t>
  </si>
  <si>
    <t>LTV</t>
  </si>
  <si>
    <t>(Customer) Lifetime Value</t>
  </si>
  <si>
    <t>Total margin expected from a customer over the relationship.</t>
  </si>
  <si>
    <t>MFI</t>
  </si>
  <si>
    <t>Microfinance Institution</t>
  </si>
  <si>
    <t>Local lender often partnered with for the credit or agent-financing function.</t>
  </si>
  <si>
    <t>OEM</t>
  </si>
  <si>
    <t>Original Equipment Manufacturer</t>
  </si>
  <si>
    <t>PAR-30</t>
  </si>
  <si>
    <t>Portfolio at Risk (30 days)</t>
  </si>
  <si>
    <t>Share of a receivables book overdue by more than 30 days.</t>
  </si>
  <si>
    <t>PE</t>
  </si>
  <si>
    <t>Private Equity</t>
  </si>
  <si>
    <t>Equity investment in unlisted companies.</t>
  </si>
  <si>
    <t>RBF</t>
  </si>
  <si>
    <t>Results-Based Financing</t>
  </si>
  <si>
    <t>TA</t>
  </si>
  <si>
    <t>Technical Assistance</t>
  </si>
  <si>
    <t>Grant-funded capability support, typically pre-investment.</t>
  </si>
  <si>
    <t>VC</t>
  </si>
  <si>
    <t>Venture Capital</t>
  </si>
  <si>
    <t>Early-stage equity investment.</t>
  </si>
  <si>
    <t>BOM</t>
  </si>
  <si>
    <t>Bill of Materials</t>
  </si>
  <si>
    <t>FMCG</t>
  </si>
  <si>
    <t>Fast-Moving Consumer Goods</t>
  </si>
  <si>
    <t>Comparable sector for underwriting the Network Distributor.</t>
  </si>
  <si>
    <t>EPC</t>
  </si>
  <si>
    <t>Delivery model for building infrastructure assets.</t>
  </si>
  <si>
    <t>2X</t>
  </si>
  <si>
    <t>2X Challenge</t>
  </si>
  <si>
    <t>Gender-lens investment criteria that unlock dedicated pools of DFI capital.</t>
  </si>
  <si>
    <t>BUSINESS MODELS &amp; TECHNOLOGY</t>
  </si>
  <si>
    <t>ICS</t>
  </si>
  <si>
    <t>Improved Cookstove</t>
  </si>
  <si>
    <t>Efficient biomass or charcoal cooking device.</t>
  </si>
  <si>
    <t>LPG</t>
  </si>
  <si>
    <t>Liquefied Petroleum Gas</t>
  </si>
  <si>
    <t>Bottled or metered cooking fuel.</t>
  </si>
  <si>
    <t>IoT</t>
  </si>
  <si>
    <t>Internet of Things</t>
  </si>
  <si>
    <t>Connected metering/sensor technology enabling remote usage tracking and pay-gating.</t>
  </si>
  <si>
    <t>Pay-As-You-Go</t>
  </si>
  <si>
    <t>SaaP</t>
  </si>
  <si>
    <t>Subscription-as-a-Product</t>
  </si>
  <si>
    <t>MNO</t>
  </si>
  <si>
    <t>Mobile Network Operator</t>
  </si>
  <si>
    <t>Provider of the mobile-money payment rails on which access models run.</t>
  </si>
  <si>
    <t>eCook</t>
  </si>
  <si>
    <t>Electric Cooking</t>
  </si>
  <si>
    <t>CARBON MARKETS</t>
  </si>
  <si>
    <t>MRV</t>
  </si>
  <si>
    <t>System for evidencing emission reductions; determines carbon-credit integrity.</t>
  </si>
  <si>
    <t>VCM</t>
  </si>
  <si>
    <t>Voluntary Carbon Market</t>
  </si>
  <si>
    <t>Market for credits bought voluntarily, outside compliance regimes.</t>
  </si>
  <si>
    <t>tCO2e</t>
  </si>
  <si>
    <t>Standard unit of a carbon credit.</t>
  </si>
  <si>
    <t>CCP</t>
  </si>
  <si>
    <t>Core Carbon Principles</t>
  </si>
  <si>
    <t>ICVCM's benchmark for high-integrity carbon credits.</t>
  </si>
  <si>
    <t>ICVCM</t>
  </si>
  <si>
    <t>Integrity Council for the Voluntary Carbon Market</t>
  </si>
  <si>
    <t>Body that sets and awards the CCP label.</t>
  </si>
  <si>
    <t>GS</t>
  </si>
  <si>
    <t>Gold Standard</t>
  </si>
  <si>
    <t>fNRB</t>
  </si>
  <si>
    <t>Fraction of Non-Renewable Biomass</t>
  </si>
  <si>
    <t>Key crediting parameter; lower, MoFuSS-derived values indicate higher integrity.</t>
  </si>
  <si>
    <t>MoFuSS</t>
  </si>
  <si>
    <t>Model for deriving fNRB, required under the CCP conditions.</t>
  </si>
  <si>
    <t>CDM</t>
  </si>
  <si>
    <t>Clean Development Mechanism</t>
  </si>
  <si>
    <t>Legacy UN crediting mechanism; several cooking methodologies now rejected.</t>
  </si>
  <si>
    <t>AMS</t>
  </si>
  <si>
    <t>Approved Methodology, Small-scale</t>
  </si>
  <si>
    <t>TPDDTEC</t>
  </si>
  <si>
    <t>A Gold Standard cooking methodology (v4.0 conditionally CCP-approved).</t>
  </si>
  <si>
    <t>VM0050</t>
  </si>
  <si>
    <t>Verra Methodology VM0050</t>
  </si>
  <si>
    <t>SD VISta</t>
  </si>
  <si>
    <t>Sustainable Development Verified Impact Standard</t>
  </si>
  <si>
    <t>LoA</t>
  </si>
  <si>
    <t>ITMO</t>
  </si>
  <si>
    <t>Internationally Transferred Mitigation Outcome</t>
  </si>
  <si>
    <t>Emission reduction transferred between countries under Article 6.2.</t>
  </si>
  <si>
    <t>Article 6</t>
  </si>
  <si>
    <t>Paris Agreement Article 6</t>
  </si>
  <si>
    <t>Provisions governing international carbon-market cooperation (6.2 covers bilateral transfers).</t>
  </si>
  <si>
    <t>CORSIA</t>
  </si>
  <si>
    <t>Carbon Offsetting and Reduction Scheme for International Aviation</t>
  </si>
  <si>
    <t>Aviation compliance scheme; eligibility supports premium credit pricing.</t>
  </si>
  <si>
    <t>ENERGY &amp; INFRASTRUCTURE</t>
  </si>
  <si>
    <t>kWp</t>
  </si>
  <si>
    <t>Kilowatt-peak</t>
  </si>
  <si>
    <t>Rated peak generation capacity; basis for CAPEX-per-kWp benchmarking.</t>
  </si>
  <si>
    <t>kWh</t>
  </si>
  <si>
    <t>Kilowatt-hour</t>
  </si>
  <si>
    <t>Unit of energy consumed; basis for consumption benchmarks (~6.1 kWh/user/month).</t>
  </si>
  <si>
    <t>O&amp;M</t>
  </si>
  <si>
    <t>Operations and Maintenance</t>
  </si>
  <si>
    <t>Ongoing cost of running and maintaining infrastructure over a 15-20-year life.</t>
  </si>
  <si>
    <t>PPA</t>
  </si>
  <si>
    <t>Power Purchase Agreement</t>
  </si>
  <si>
    <t>IPP</t>
  </si>
  <si>
    <t>Independent Power Producer</t>
  </si>
  <si>
    <t>SAIDI</t>
  </si>
  <si>
    <t>System Average Interruption Duration Index</t>
  </si>
  <si>
    <t>SAIFI</t>
  </si>
  <si>
    <t>System Average Interruption Frequency Index</t>
  </si>
  <si>
    <t>AMDA</t>
  </si>
  <si>
    <t>GOGLA</t>
  </si>
  <si>
    <t>Publisher of PAYGo PERFORM; source of repayment and ownership benchmarks (solar proxy).</t>
  </si>
  <si>
    <t>PAYGo PERFORM</t>
  </si>
  <si>
    <t>GOGLA PAYGo PERFORM</t>
  </si>
  <si>
    <t>MCFA</t>
  </si>
  <si>
    <t>Modern Cooking Facility for Africa</t>
  </si>
  <si>
    <t>AECF</t>
  </si>
  <si>
    <t>Africa Enterprise Challenge Fund</t>
  </si>
  <si>
    <t>Challenge-fund provider of catalytic capital and RBF.</t>
  </si>
  <si>
    <t>GCF</t>
  </si>
  <si>
    <t>Green Climate Fund</t>
  </si>
  <si>
    <t>Multilateral climate finance provider (grants for MRV and project development).</t>
  </si>
  <si>
    <t>UNHCR</t>
  </si>
  <si>
    <t>United Nations High Commissioner for Refugees</t>
  </si>
  <si>
    <t>WFP</t>
  </si>
  <si>
    <t>World Food Programme</t>
  </si>
  <si>
    <t>IDRC</t>
  </si>
  <si>
    <t>International Development Research Centre</t>
  </si>
  <si>
    <t>Collaborating institution on this toolkit.</t>
  </si>
  <si>
    <t>TCX</t>
  </si>
  <si>
    <t>The Currency Exchange Fund</t>
  </si>
  <si>
    <t>Provider of local-currency hedging facilities.</t>
  </si>
  <si>
    <t>KII</t>
  </si>
  <si>
    <t>Key-Informant Interview</t>
  </si>
  <si>
    <t>SSA</t>
  </si>
  <si>
    <t>Sub-Saharan Africa</t>
  </si>
  <si>
    <t>Primary geography of the sector.</t>
  </si>
  <si>
    <t>How the tools work together (follow Steps 1 to 6 in order; supporting sheets A to F sit behind them)</t>
  </si>
  <si>
    <t>Activity and toolkit step</t>
  </si>
  <si>
    <t>04  The Carbon Integrated Model</t>
  </si>
  <si>
    <t>Closest comparable business (how to underwrite it)</t>
  </si>
  <si>
    <t>How value is captured (revenue model)</t>
  </si>
  <si>
    <t>Supplementary. Model carbon as UPSIDE, not in the base case, unless credits have been verified and issued in at least 2 consecutive annual cycles. With that track record, an Emission Reduction Forward Purchase Agreement (ERFPA) becomes a useful supplementary instrument.</t>
  </si>
  <si>
    <t>Supplementary, but can become central as the business matures. IoT metering supports high-integrity MRV and premium prices; once verified, carbon improves unit economics by lowering CAC and device subsidy costs.</t>
  </si>
  <si>
    <t>Supplementary, with a direct pathway: the meters used for tariff billing are the same infrastructure MRV needs, so eCooking monitoring can be added at low cost as adoption grows.</t>
  </si>
  <si>
    <t>High agent turnover (losing an agent means losing their customers); quality control risk (agents are independent contractors); gaps in agent stock financing, which cap sales regardless of demand.</t>
  </si>
  <si>
    <t>Repayment rate (≥90% for top performers; 72% sector average, GOGLA PAYGo PERFORM); PAR-30 and write-off ratio; 12-month active-customer rate (≥80%); months for ARPU to recover device cost (≤12 = Green, 12-36 = Amber). Always measure by cohort, never by total customer count.</t>
  </si>
  <si>
    <t>The strongest evidence on gender inclusion sits with this archetype. Shell Foundation's Gender RBF pilot found that female agents outperformed their peers in all segments, and gender-intentional design increased sales by up to 70% among previously unserved women. Solar Sister grew cookstove sales more than 10x in 2020-24 through an all-female network.</t>
  </si>
  <si>
    <t>Kenya and Tanzania are the most mature (mobile money, IoT-enabled LPG, digital payments); Rwanda and Uganda are growing. Much of West Africa still relies on agent-managed cylinder exchange rather than IoT-enabled access models.</t>
  </si>
  <si>
    <t>East Africa is the most mature (Bidhaa Sasa and Solar Sister in Kenya). In West Africa, distribution more often sits inside larger LPG marketers and consumer goods networks.</t>
  </si>
  <si>
    <t>Growth equity for scaling up manufacturing; revolving working-capital debt; trade finance; RBF against verified unit sales; carbon pre-finance once an MRV track record exists.</t>
  </si>
  <si>
    <t>Concessional or patient debt for inventory and network expansion; RBF against verified agent activations or sales; first-loss guarantee for agent stock; TA grants to build the network; equity for the technology platform.</t>
  </si>
  <si>
    <t>Long-tenor infrastructure debt (7-15 years, DFI-led); concessional first-loss tranche; DFI co-investment (equity or anchor debt); catalytic equity or feasibility grants. Keep cooking appliance CAPEX in a separate appliance-financing facility on consumer-finance terms, funded by RBF paid on verified sustained use rather than on devices placed.</t>
  </si>
  <si>
    <t>Capital-efficient growth: returns come from growing sales without a matching increase in fixed assets. Small ticket sizes limit the absolute return. Typical hold of 4-7 years, ending in a trade sale or a secondary sale to a larger distributor.</t>
  </si>
  <si>
    <t>BURN Manufacturing (East and West Africa; revenue comes mainly from the point of sale, and its carbon finance and RBF income are supplementary, which is why it sits here rather than under Archetype 04); African Clean Energy (Lesotho, East Africa); EcoSafi (Kenya).</t>
  </si>
  <si>
    <t>Bidhaa Sasa (Kenya); Solar Sister (Nigeria, Tanzania, Kenya).</t>
  </si>
  <si>
    <t>TOOL 01A: ARCHETYPE AND MATURITY STAGE QUICK-SCREEN</t>
  </si>
  <si>
    <t>PART A: WHICH ARCHETYPE IS THIS?</t>
  </si>
  <si>
    <t>Diagnostic question (answer all five; the first Yes sets the archetype)</t>
  </si>
  <si>
    <t>RESULT: primary archetype</t>
  </si>
  <si>
    <t>PART B: WHICH MATURITY STAGE IS THIS?</t>
  </si>
  <si>
    <t>Question for the enterprise</t>
  </si>
  <si>
    <t>Stage</t>
  </si>
  <si>
    <t>How would you describe your commercial operations today: still proving the model, selling commercially in one market, or replicating across several markets?</t>
  </si>
  <si>
    <t>What capital have you raised so far, and from whom? Count only funding that has closed, not funding under discussion.</t>
  </si>
  <si>
    <t>How does the business run day to day? How much depends on the founder(s) being present?</t>
  </si>
  <si>
    <t>RESULT: maturity stage</t>
  </si>
  <si>
    <t>WHY THE STAGE IS SET HERE AND NOT IN THE INSTRUMENT MATRIX</t>
  </si>
  <si>
    <t>TOOL 01B: DUE DILIGENCE CHECKLIST BY ARCHETYPE</t>
  </si>
  <si>
    <t>Mode (set on Sheet A):</t>
  </si>
  <si>
    <t>Override cells, copied from Sheet A (Screen Engine). Change them there →</t>
  </si>
  <si>
    <t>TOOL 02: CAPITAL INSTRUMENT SELECTION MATRIX</t>
  </si>
  <si>
    <t>RECOMMENDED CAPITAL STRUCTURE (loaded from the Instrument Library on Sheet C)</t>
  </si>
  <si>
    <t>Why this instrument fits</t>
  </si>
  <si>
    <t>Ticket-size mismatch and aggregation</t>
  </si>
  <si>
    <t>Carbon as collateral: handle with care</t>
  </si>
  <si>
    <t>TOOL 03: FEEDBACK FOR THE SCREENED ENTERPRISE</t>
  </si>
  <si>
    <t>LAYER 1: OVERALL FEEDBACK (FROM TOOLS 01A AND 01B)</t>
  </si>
  <si>
    <t>Archetype (from Sheet A):</t>
  </si>
  <si>
    <t>Maturity stage (from Sheet A):</t>
  </si>
  <si>
    <t>Overall rating:</t>
  </si>
  <si>
    <t>Capital pathway (from Tool 02)</t>
  </si>
  <si>
    <t>When to re-engage / next step</t>
  </si>
  <si>
    <t>LAYER 2: BENCHMARK-LINKED DIAGNOSIS (BASED ON THE RATINGS GIVEN IN TOOL 01B)</t>
  </si>
  <si>
    <t>Benchmark to close: what Green requires at this stage</t>
  </si>
  <si>
    <t>Key benchmarks:</t>
  </si>
  <si>
    <t>SCREEN ENGINE: THE CONTROL SHEET FOR THE WHOLE TOOLKIT</t>
  </si>
  <si>
    <t>WHAT THE TOOL 01A SCREEN RETURNED (read-only)</t>
  </si>
  <si>
    <t>Part A: archetype result</t>
  </si>
  <si>
    <t>Part B: maturity stage result</t>
  </si>
  <si>
    <t>Yellow cells are the only cells to edit on this sheet. In Follow mode, the override cells are ignored.</t>
  </si>
  <si>
    <t>Override archetype (used only in Manual override)</t>
  </si>
  <si>
    <t>Override stage (used only in Manual override)</t>
  </si>
  <si>
    <t>ARCHETYPE REFERENCE TABLE (the lookup behind the published values)</t>
  </si>
  <si>
    <t>Question counts are the number of questions held on Sheet B for each archetype; Tool 01B shows exactly this many rows.</t>
  </si>
  <si>
    <t>NARRATIVE LIBRARY: archetype-level text. Edit it here and Tools 01B and 03 update automatically.</t>
  </si>
  <si>
    <t>Key benchmarks for this archetype (Sheet F, GOGLA PAYGo PERFORM v3): Repayment Rate ≥~90% of contract value at 2x term = top performer, 72% = sector average, &lt;60% = distress; Customer Ownership Rate ~78% average, ≥85% strong; 12-month active-customer rate ≥80% Green, &lt;60% Red; ARPU covering device and servicing costs within 12-36 months.</t>
  </si>
  <si>
    <t>⚑ Red flag: high agent turnover together with low agent satisfaction. This is an early warning of network collapse that shows up before it appears in revenue.</t>
  </si>
  <si>
    <t>Key benchmarks for this archetype (Sheet F): ≥70% of recruited agents active within 30 days = Green, &lt;50% = Red; net margin per active agent at or above the local main-livelihood threshold; stock-credit default &lt;5% Green, &gt;10% Red; top 20% of agents &lt;50% of sales Green, &gt;70% Red.</t>
  </si>
  <si>
    <t>⚑ Red flag: revenue shown as one line with no split between device and carbon income, and no scenario analysis showing whether device sales can sustain distribution if carbon prices fall.</t>
  </si>
  <si>
    <t>⚑ Red flag: revenue relies mainly on projected cooking demand without secured institutional offtake contracts. This means too much merchant demand risk and not enough cash-flow certainty to support infrastructure debt.</t>
  </si>
  <si>
    <t>CRITERIA LIBRARY BY STAGE: THE ENGINE BEHIND TOOL 01B</t>
  </si>
  <si>
    <t>Critical question (same at every stage)</t>
  </si>
  <si>
    <t>CAPITAL INSTRUMENT LIBRARY: THE ENGINE BEHIND TOOL 02</t>
  </si>
  <si>
    <t>Why this instrument fits</t>
  </si>
  <si>
    <t>Climate finance grant (GCF, MCFA, bilateral donor); output-linked to verified pilot distribution; partnership agreements in place before capital is deployed; methodology selected for CCP eligibility (MoFuSS-derived fNRB, typically &lt;0.5, plus robust usage monitoring).</t>
  </si>
  <si>
    <t>Carbon forward purchase / pre-payment + RBF on device distribution milestones + working-capital debt</t>
  </si>
  <si>
    <t>Creditworthy offtake partner; floor-price clause; independent MRV verification of the first full cycle before working-capital debt is drawn.</t>
  </si>
  <si>
    <t>Capital pathway (from Tool 02)</t>
  </si>
  <si>
    <t>When to re-engage / next step</t>
  </si>
  <si>
    <t>Capital pathway (from Tool 02)</t>
  </si>
  <si>
    <t>When to re-engage / next step</t>
  </si>
  <si>
    <t>This is the KOKO pattern at the diligence stage: the model depends on carbon revenue that has no contracted floor price.</t>
  </si>
  <si>
    <t>Infrastructure debt rests on uncontracted revenue across the portfolio. Restructure the exposure before market events force a repricing.</t>
  </si>
  <si>
    <t>RETURNS AND EXITS, AND WHY DEALS FAIL</t>
  </si>
  <si>
    <t>RETURNS AND EXIT ROUTES BY ARCHETYPE</t>
  </si>
  <si>
    <t>Carbon Integrated Model</t>
  </si>
  <si>
    <t>Lasting value needs a commercially viable device business that carbon revenue and regulatory certainty strengthen, but that does not depend on them entirely.</t>
  </si>
  <si>
    <t>Investment horizons should match the asset life and long-tenor debt, typically 7 to 15 years.</t>
  </si>
  <si>
    <t>WHAT RETURNS CAN INVESTORS REALISTICALLY EXPECT? BY CAPITAL LAYER, WITH VERIFIABLE EVIDENCE</t>
  </si>
  <si>
    <t>There is no audited, sector-wide IRR benchmark for clean cooking yet: the sector is young and most exit terms are undisclosed. The evidence that does exist is set out below by capital layer. Use it to test any pitch-deck IRR: if a model shows returns well above these reference points, the model must prove them.</t>
  </si>
  <si>
    <t>0% financial return; underwrite on the leverage ratio and evidence of crowding-in.</t>
  </si>
  <si>
    <t>Prevailing local corporate bond and private credit yields for the market and currency (hard-currency clean cooking debt typically prices at emerging-market private credit levels); mezzanine prices above senior debt.</t>
  </si>
  <si>
    <t>Venture-to-growth equity expectations apply (the target range in impact private equity), but underwrite conservatively: value the receivables book or sales data, not the story.
INDICATIVE: there is no published sector IRR; anchor on GOGLA profitability data and multiples from comparable transactions.</t>
  </si>
  <si>
    <t>Carbon-linked returns (Carbon Integrated Model)</t>
  </si>
  <si>
    <t>AMDA's benchmarking explains the numbers: average consumption of ~6.1 kWh per user per month and CAPEX ~2.3x global benchmarks mean fully commercial equity returns are not yet possible without concessional capital. AMDA describes the sector as moving closer to financial viability as costs fall (CAPEX down ~20% since 2020) and consumption rises. Debt is being underwritten against contracted revenue: CrossBoundary Energy Access's project financing of PowerGen's Nigeria portfolio is the working example.</t>
  </si>
  <si>
    <t>Infrastructure-style: single-digit to low-teens equity IRRs over 7-15 years, achievable only with blended structures; debt sized on DSCR against anchor-contracted revenue only.</t>
  </si>
  <si>
    <t>WHY DEALS FAIL: FAILURE PATTERNS BY ARCHETYPE AND THE EARLIEST SIGNS IN DILIGENCE</t>
  </si>
  <si>
    <t>Common failure pattern</t>
  </si>
  <si>
    <t>Earliest sign in diligence</t>
  </si>
  <si>
    <t>Dependence on donor-funded or institutional purchasing: revenue drops sharply when contracts end. Warranty costs are underestimated and slowly erode margins.</t>
  </si>
  <si>
    <t>Fewer than 20% of sales from paying commercial customers, or warranty provisions based on assumptions rather than field data.</t>
  </si>
  <si>
    <t>High churn and repayment defaults push recurring revenue below what is needed to recover acquisition costs and service debt; weak accounting hides true portfolio performance.</t>
  </si>
  <si>
    <t>Far fewer active paying customers than registered customers, and no cohort-level tracking of repayment and retention (PAYGo PERFORM KPIs not produced).</t>
  </si>
  <si>
    <t>Growth stalls when agents leave the network or cannot finance enough stock, reducing product availability and sales.</t>
  </si>
  <si>
    <t>Rising agent turnover, falling agent satisfaction, or a few agents accounting for most sales: signs of a fragile network.</t>
  </si>
  <si>
    <t>Carbon Integrated Model</t>
  </si>
  <si>
    <t>Projections rely on forecast rather than contracted demand; no dedicated O&amp;M reserve; tariffs do not cover full lifecycle costs.</t>
  </si>
  <si>
    <t>CASE STUDY: KOKO NETWORKS (Carbon Integrated Model with Access Provider features). Carbon is a lever, not a lifeline</t>
  </si>
  <si>
    <t>PORTFOLIO CONSTRUCTION</t>
  </si>
  <si>
    <t>Carbon Integrated Model</t>
  </si>
  <si>
    <t>GS Metered &amp; Measured v1-1.2: highest integrity (direct metering; ~1.5x over-credited, the most accurate per Gill-Wiehl et al. 2024); CCP-approved subject to ICVCM conditions</t>
  </si>
  <si>
    <t>Rejected or legacy (GS Simplified, GS EE v1-13.1, CDM AMS-II.G, AMS-I.E): sample-wide average of ~9.2x over-crediting (~10.6x extrapolated across all credits; legacy methods individually higher), Gill-Wiehl et al. 2024</t>
  </si>
  <si>
    <t>Not tracked (cohort analysis shows early repayment strongly predicts final outcomes, and weak cohorts seldom recover)</t>
  </si>
  <si>
    <t>In process: model VCM prices and flag the upside</t>
  </si>
  <si>
    <t>GLOSSARY OF TERMS AND ABBREVIATIONS</t>
  </si>
  <si>
    <t>Cash flow available for debt service divided by scheduled debt payments; used to size infrastructure debt.</t>
  </si>
  <si>
    <t>Asset-financing model in which the customer pays off a device over time: a receivables book carrying credit risk.</t>
  </si>
  <si>
    <t>Contract with an offtaker to buy energy at an agreed tariff.</t>
  </si>
  <si>
    <t>Reliability metric: average outage duration per customer.</t>
  </si>
  <si>
    <t>Reliability metric: average number of outages per customer.</t>
  </si>
  <si>
    <t>Africa Minigrids Developers Association</t>
  </si>
  <si>
    <t>Institutional anchor offtaker in humanitarian settings.</t>
  </si>
  <si>
    <t>Institutional anchor offtaker in humanitarian settings.</t>
  </si>
  <si>
    <r>
      <rPr>
        <b/>
        <sz val="10"/>
        <rFont val="Avenir Next LT Pro"/>
        <family val="2"/>
      </rPr>
      <t>Due diligence and deal structuring:</t>
    </r>
    <r>
      <rPr>
        <sz val="10"/>
        <rFont val="Avenir Next LT Pro"/>
        <family val="2"/>
      </rPr>
      <t xml:space="preserve"> Apply the archetype's due diligence questions at the screened stage (Tool 01B), then choose the financing instrument that fits the revenue model and stage (Tool 02).</t>
    </r>
  </si>
  <si>
    <r>
      <rPr>
        <b/>
        <sz val="10"/>
        <rFont val="Avenir Next LT Pro"/>
        <family val="2"/>
      </rPr>
      <t>Exit planning:</t>
    </r>
    <r>
      <rPr>
        <sz val="10"/>
        <rFont val="Avenir Next LT Pro"/>
        <family val="2"/>
      </rPr>
      <t xml:space="preserve"> Set the exit strategy by archetype: strategic sale, secondary sale, refinancing, or long-term hold by an infrastructure or yield-focused fund (see Sheet E).</t>
    </r>
  </si>
  <si>
    <r>
      <rPr>
        <b/>
        <sz val="10"/>
        <rFont val="Avenir Next LT Pro"/>
        <family val="2"/>
      </rPr>
      <t>COMESA region:</t>
    </r>
    <r>
      <rPr>
        <sz val="10"/>
        <rFont val="Avenir Next LT Pro"/>
        <family val="2"/>
      </rPr>
      <t xml:space="preserve"> the deepest pipeline, more mature regulation, and established comparables and exit precedents, but more competition and higher entry valuations.
</t>
    </r>
    <r>
      <rPr>
        <b/>
        <sz val="10"/>
        <rFont val="Avenir Next LT Pro"/>
        <family val="2"/>
      </rPr>
      <t>West and Central Africa:</t>
    </r>
    <r>
      <rPr>
        <sz val="10"/>
        <rFont val="Avenir Next LT Pro"/>
        <family val="2"/>
      </rPr>
      <t xml:space="preserve"> less contested, earlier-stage opportunities at lower entry cost, for investors with enough origination capacity.</t>
    </r>
  </si>
  <si>
    <r>
      <t xml:space="preserve">An asset-light enterprise that reaches last-mile customers through a network of independent community agents or franchisees. It earns a margin on sales through the network rather than owning the customer relationship.
</t>
    </r>
    <r>
      <rPr>
        <b/>
        <i/>
        <sz val="10"/>
        <color theme="1"/>
        <rFont val="Avenir Next LT Pro"/>
        <family val="2"/>
      </rPr>
      <t>The test:</t>
    </r>
    <r>
      <rPr>
        <i/>
        <sz val="10"/>
        <color theme="1"/>
        <rFont val="Avenir Next LT Pro"/>
        <family val="2"/>
      </rPr>
      <t xml:space="preserve"> revenue = active agents × sales per agent. If the agents left, the customers would leave with them.</t>
    </r>
  </si>
  <si>
    <t>Does the enterprise earn from both device sales and carbon credit sales, with carbon revenue lowering the device price and verified device use generating the credits?</t>
  </si>
  <si>
    <t>Assess it using an infrastructure project-finance approach. The central question is whether contracted or predictable anchor revenue can support debt service over the asset's life. Also check whether operations and maintenance (O&amp;M) reserves are adequate and, where debt is in foreign currency, whether local-currency revenue can absorb exchange-rate movements. Treat household cooking demand as upside, not as the base for debt service.</t>
  </si>
  <si>
    <t>Long-term energy sales through tariffs, anchored by contracted or predictable institutional demand. Clean cooking is one of several energy services, and adds value by making better use of spare generation capacity.</t>
  </si>
  <si>
    <r>
      <rPr>
        <b/>
        <sz val="10"/>
        <color theme="1"/>
        <rFont val="Avenir Next LT Pro"/>
        <family val="2"/>
      </rPr>
      <t>LOW</t>
    </r>
    <r>
      <rPr>
        <sz val="10"/>
        <color theme="1"/>
        <rFont val="Avenir Next LT Pro"/>
        <family val="2"/>
      </rPr>
      <t xml:space="preserve">
Capital needs are low at the parent company because agents hold the working capital. The main constraint on growth is financing agent inventory.</t>
    </r>
  </si>
  <si>
    <t>2. Archetype Profiles</t>
  </si>
  <si>
    <t>Device sales and carbon revenue are directly linked. In some documented programs, carbon revenue lowers the device price by up to 80%, and the enterprise earns from both device sales and carbon credit sales.</t>
  </si>
  <si>
    <t>CORE. Carbon lowers the device cost and funds distribution at scale. Pricing:
(i) VCM: ~US$3-15/tCO2e (most spot trades US$3-5); with verified co-benefits, US$28-35 (e.g., EcoSafi ~US$35).
(ii) Compliance/Article 6.2: typically US$10-35, with a host-country Letter of Authorization.</t>
  </si>
  <si>
    <t>Dependence on subsidies and whether margins will hold (ask for the subsidized vs. commercial revenue split); low customer lifetime value (one-time sale); FX and supply-chain volatility on imported inputs; warranty exposure compared with field-return data.</t>
  </si>
  <si>
    <t>Carbon price volatility (prices fell sharply in 2022-24 before stabilizing); methodology and integrity risk (revisions cut issuance; vintage risk); the complexity of running two revenue models. Stress-test device economics at US$3/tCO2e.</t>
  </si>
  <si>
    <t>Overestimated household eCooking demand (the most common shortfall). This covers slow uptake, drop-off after adoption, stove stacking that lowers load per household, and reliance on training and financing to keep households cooking. Require independent, gender-disaggregated validation and treat cooking as upside, not as a base for debt.
Generation sizing risk: eCooking load can use up spare capacity and force investment in more generation or storage instead of raising utilization (generation, not distribution, is the binding constraint). Also: long paybacks; O&amp;M costs under-modeled over 15-20 years (fund a ring-fenced reserve); hard-currency debt against local-currency tariffs.</t>
  </si>
  <si>
    <t>Unit contribution margin (positive without subsidy); paying-customer share of revenue (&gt;50% = Green); field failure rate and warranty reserves (&lt;5%, reserved on field-return data); cost per unit vs. comparable imports; subsidized vs. commercial revenue split. Benchmark bands are on Sheet F.</t>
  </si>
  <si>
    <t>Net margin per active agent per month (vs. the local livelihood threshold); share of agents active in the last 30 days (≥70% = Green); default on stock credit from the parent company (&lt;5%, monitored); share of sales from the top 20% of agents (&lt;50%); agent turnover and satisfaction trends.</t>
  </si>
  <si>
    <t>Methodology tier (CCP-approved metered = Green); realized price per tCO2e (&gt;US$8-10; toward US$14-39 for CORSIA-eligible or co-benefit credits); verified issuance cycles completed (≥2, with volumes vs. projections); offtake coverage and floor price; Article 6 LoA status.</t>
  </si>
  <si>
    <t>ARPU (~US$5-8 per user per month); consumption (≥6 kWh per user per month, AMDA); CAPEX per kWp vs. the ~US$6,824 African average for 2020-24 (AMDA); service uptime (≥95%, tracked); share of revenue contracted with anchor customers; O&amp;M reserve funding status.</t>
  </si>
  <si>
    <t>Women are the main users but often not the buyers. Gender-disaggregated sales data and co-benefit documentation improve access to RBF programs that require evidence of gender impact. The archetype also creates manufacturing jobs for women, although most are low-paid.</t>
  </si>
  <si>
    <t>Verified gender outcomes earn higher prices: Gold Standard Gender Equality Requirements and Verra SD VISta offer formal routes to verified co-benefit premiums (e.g., EcoSafi ~US$35/tCO2e with a BeZero rating). Stakeholder consultations must include women.</t>
  </si>
  <si>
    <t>Gender-aware demand modeling protects revenue projections. If female household members' willingness to adopt eCooking is not assessed, forecasts consistently assume faster uptake than happens. This is the most common source of revenue shortfall.</t>
  </si>
  <si>
    <t>Mini-grid regulation and financing are most developed in East Africa (tariff methods and licensing in Kenya and Tanzania). Nigeria leads West Africa (2023 Electricity Act; 174+ licenses in 2024; InfraCredit local-currency guarantees). The eCooking layer is narrower, concentrated in Tanzania (PowerGen pilots) and proven in pilots, not portfolios. Do not treat mini-grid maturity as cooking maturity.</t>
  </si>
  <si>
    <t>Working-capital credit for agents through MFIs (critical; self-liquidating structures linked to tracked sales); DFI or donor first-loss guarantees for agent stock (e.g., MCFA); TA-funded digital agent tracking systems (needed before any debt).</t>
  </si>
  <si>
    <t>Forward carbon offtake agreements with creditworthy buyers (e.g., Envirofit Ghana, where a fixed-price KliK offtake secured US$4M of Spark+ debt, later expanded by US$2.85M); host-government Article 6 LoAs (a legal requirement for compliance pricing); stable methodologies (Gold Standard, Verra); independent ratings (BeZero, Sylvera).</t>
  </si>
  <si>
    <t>Multi-year procurement contracts with anchor customers (the most critical enabler, as it turns merchant risk into contracted risk); DFI first-loss tranche (10-20% of the facility; involve DFIs as co-investors from pre-feasibility).
For the cooking layer: end-user financing plus training and after-sales support to sustain adoption (PowerGen/CLASP), and demand management within spare generation capacity so that cooking load raises utilization rather than using it up.</t>
  </si>
  <si>
    <t>UpEnergy Group (8 African countries; world-first electric cooking carbon credits under Gold Standard Metered &amp; Measured; Tanzania's first Article 6-authorized credits, 2024); Envirofit (Ghana); BioLite (Kenya, Uganda, Rwanda).</t>
  </si>
  <si>
    <t>PowerGen with eCook (Kenya, Tanzania; CrossBoundary-financed portfolio in Nigeria); Husk Power Systems (Nigeria, India; left Tanzania in 2022 after tariff equalization); Nuru (DRC; MIGA-guaranteed, PPA-anchored solar-hybrid metro-grids).</t>
  </si>
  <si>
    <t>The most commercially mature archetype: established manufacturers (BURN, ACE) with more than ten years of operations. Precedents include BURN's green bond (the sector's first) and its EIB facility, plus repeat RBF programs (MCFA, AECF TCCP) that show institutional appetite for verified unit sales.</t>
  </si>
  <si>
    <t>Maturing fast but volatile: world-first electric cooking credits (UpEnergy); Ghana's completed Article 6.2 activity with KliK (2024); proven offtake-backed debt (Envirofit/Spark+, US$4M expanded by US$2.85M). Against this sits the KOKO insolvency (January 2026), the sector's main cautionary case (see Sheet E).</t>
  </si>
  <si>
    <t>⚑ Red flag: margins depend entirely on donor-subsidized prices, with no credible path to prices households can afford at commercial rates.</t>
  </si>
  <si>
    <t>📄 Evidence to request: cohort-level repayment files using PAYGo PERFORM v3 (Repayment Rate at contract term, 1.5x and 2x term; Repayment Rate at 90 days; Customer Ownership Rate; PAR-30; write-offs); reconciliation of registered vs. active users; ARPU and churn by cohort; deposit policy and distribution; consumer-finance license status and regulator correspondence; MNO and payment-rail agreements and fee schedules; device BOM and subsidy schedule; for any carbon-linked revenue, host-country Article 6 authorization (Letter of Authorization) and corresponding-adjustment status, plus fNRB derivation (MoFuSS) if credits are claimed.</t>
  </si>
  <si>
    <t>Sources: repayment benchmarks from GOGLA PAYGo PERFORM v3 (2026, solar data used as a proxy): average Repayment Rate of 72% of contract value at 2x contract term; top performers near 100%, weak firms below 60%; average Customer Ownership Rate of 78%. GOGLA tracks Repayment Rate at 90 days as an early indicator, and cohort analysis shows that early repayment strongly predicts final outcomes. Deposits above 10% and shorter contracts are linked to much better repayment (West Africa averages 77% vs. East Africa 69%). Do not apply solar data to cooking without market-specific evidence. Churn and ARPU payback thresholds are indicative; see Sheet F.</t>
  </si>
  <si>
    <t>Key benchmarks for this archetype (Sheet F): viable at ~US$5/tCO2e (spot average ~US$4); CCP-approved methodologies only, with GS Metered &amp; Measured the highest integrity (~1.5x over-credited) vs. rejected legacy methods (~9.2x on average, Gill-Wiehl et al. 2024); fNRB derived through MoFuSS, typically &lt;0.5; ≥2 verified issuance cycles; high-integrity prices of US$14-39 (MSCI 2026; Abatable 2025) vs. US$4-8 unrated; LoA in place before any Article 6 pricing.</t>
  </si>
  <si>
    <t>Key benchmarks for this archetype (Sheet F, AMDA 2020-24): consumption ~6.1 kWh per user per month; ARPU ~US$5-8 per user per month; CAPEX ~US$6,824/kWp African average (down ~20% since 2020; global benchmark ~US$3,000); ~US$733 per connection; uptime ≥95%; DSCR sized on contracted anchor revenue, not household cooking demand.</t>
  </si>
  <si>
    <t>Revenue sustainability: what % of revenue comes from paying customers (institutional vs. household), and what is the plan if donor-funded procurement ends?</t>
  </si>
  <si>
    <t>At least one completed commercial (non-donor) sales pilot with households or commercial buyers paying an unsubsidized or near-unsubsidized price; costed plan to reach &gt;50% paying revenue with dated milestones.</t>
  </si>
  <si>
    <t>Costing is credible but based on indicative quotes or benchmark analogs rather than actual procurement; breakeven volume estimated, not costed.</t>
  </si>
  <si>
    <t>No bottom-up BOM or landed-cost build; unit margin unknown or negative with no volume path modeled.</t>
  </si>
  <si>
    <t>Product tested to a recognized standard; a field-return log exists from the pilot fleet, however small, and a warranty policy and provisioning method are defined before scale.</t>
  </si>
  <si>
    <t>Failure rates 5-10%, or reserves adequate in aggregate but not analyzed by product line/vintage: a legacy line could carry concentrated exposure.</t>
  </si>
  <si>
    <t>Manufacturing competitiveness: cost-per-unit vs. comparable imports, and at what scale is cost parity reached?</t>
  </si>
  <si>
    <t>Landed cost per unit modeled against comparable imports from real quotes, with the volume and design changes needed for parity identified and costed.</t>
  </si>
  <si>
    <t>At parity but only through favorable input pricing or duty treatment that is not locked in; cost-down curve has flattened.</t>
  </si>
  <si>
    <t>Plan assumes carbon to reach target margins, but a standalone device-only scenario is modeled and viable at a slower growth rate.</t>
  </si>
  <si>
    <t>Profitable at current scale on device (and/or fuel) revenue alone (commercial/institutional buyers); carbon is an incremental surplus subsidizing the price for lower-income reach. Any credits sit under a CCP-approved methodology, ideally Gold Standard Metered &amp; Measured; GS-TPDDTEC v4.0 and Verra VM0050 v1.0 were approved only conditionally.</t>
  </si>
  <si>
    <t>Device/fuel business profitable without carbon in audited accounts; carbon modeled at US$5 / 12 / 20+ scenarios with haircuts, and a price collapse to spot would not breach any covenant.</t>
  </si>
  <si>
    <t>Device business profitable but carbon material enough that a fall to ~US$4/tCO2e would breach covenants or force a growth stop; mitigation identified but not contracted.</t>
  </si>
  <si>
    <t>Some critical skills present but with a clear gap (e.g., strong engineering, thin commercial leadership; heavy key-person reliance).</t>
  </si>
  <si>
    <t>Bookkeeping informal but reconstructable; ~3-6 months runway; cap table has fixable complexity (e.g., dormant founders, undocumented SAFEs).</t>
  </si>
  <si>
    <t>Gender lens: is demand modeled with the female decision-maker in view, and does the channel reach women?</t>
  </si>
  <si>
    <t>First cohorts, however small, tracked from day one on PAYGo PERFORM lines (Repayment Rate at 90 days, PAR-30); early repayment behavior consistent with the underwriting assumption in the plan.</t>
  </si>
  <si>
    <t>≥90% at 2x term sustained across multiple vintages and markets, with Customer Ownership Rate ≥85%; cohort reporting audited or independently reviewed and capable of supporting securitization or a bank covenant package.</t>
  </si>
  <si>
    <t>Retention tracked loosely; registered-vs.-active distinction understood but not yet reported.</t>
  </si>
  <si>
    <t>≥80% at 12 months sustained across cohorts and markets, with churn drivers quantified and a demonstrated intervention that has moved the number; reconciliation of registered vs. active is routine and auditable.</t>
  </si>
  <si>
    <t>ARPU vs. breakeven: does average revenue per user support breakeven within the device payback window?</t>
  </si>
  <si>
    <t>Pricing and device cost modeled bottom-up to a payback within ~12-36 months at a churn assumption evidenced from pilot or a defensible comparable; sensitivity to churn shown.</t>
  </si>
  <si>
    <t>Payback modeled but on assumed churn/ARPU with no pilot evidence, or falling beyond 36 months in the base case.</t>
  </si>
  <si>
    <t>Cohort breakeven demonstrated in realized data (not projection) within 12-36 months across markets, with mature cohorts cash-generative and funding a growing share of acquisition.</t>
  </si>
  <si>
    <t>Breakeven realized only in the earliest cohorts or the home market; newer cohorts trending beyond 36 months.</t>
  </si>
  <si>
    <t>Lock-in evidenced in behavior (low voluntary switching, stable stacking rates) and reinforced by network density or fuel logistics a competitor would have to replicate.</t>
  </si>
  <si>
    <t>Licensing requirement in the target market established through legal advice before launch, with the compliant structure (own license or MFI partner) chosen and costed.</t>
  </si>
  <si>
    <t>Carbon needed for target margins in the plan, but a slower access-only path is modeled and viable; methodology intent is CCP-approved.</t>
  </si>
  <si>
    <t>Access business profitable without carbon in audited accounts; carbon issued under a CCP-approved metered methodology as genuine surplus, modeled at US$5 / 12 / 20+ with haircuts and not pledged against core debt service.</t>
  </si>
  <si>
    <t>Management accounts reliable and reconciled; ≥6 months runway or a signed term sheet; clean cap table; receivables and deferred revenue recognized on a stated policy from the outset.</t>
  </si>
  <si>
    <t>Enrollment and payment designed around women's control from the outset (flexible enrollment, female sign-up/support channels), acknowledging the phone/mobile-money gender gap; gender-disaggregated data collection built into the platform.</t>
  </si>
  <si>
    <t>Gender considered in outreach but not built into enrollment/payment design or the data model.</t>
  </si>
  <si>
    <t>Designed to reach women as primary users despite the phone/mobile-money gender gap (flexible enrollment, female sign-up/support channels); payment structured around the woman's account, with evidence this lifts repayment and retention.</t>
  </si>
  <si>
    <t>Agent margin modeled bottom-up against the local livelihood threshold and validated with a pilot agent cohort, however small; the commission structure is set, not assumed.</t>
  </si>
  <si>
    <t>Agent margin modeled but not tested with real agents, or viable only as supplementary income by design.</t>
  </si>
  <si>
    <t>A working stock-finance solution is in place (e.g., MFI-linked agent credit), with default on parent stock credit low (&lt;5%) and monitored.</t>
  </si>
  <si>
    <t>Stock finance institutionalized (MFI facility or guarantee-backed program) at a size that supports the growth plan; default &lt;5% with aging, and self-liquidating structures linked to tracked sales.</t>
  </si>
  <si>
    <t>Facility in place but sub-scale relative to growth, or default 5-10% with provisioning that lags the aging.</t>
  </si>
  <si>
    <t>Agent and HQ margins modeled to work at unsubsidized retail price; any upstream carbon pass-through is treated as upside, with rights and pass-through terms understood before dependence is built.</t>
  </si>
  <si>
    <t>Plan relies on a carbon-subsidized retail price with pass-through terms not documented, though an unsubsidized scenario is modeled.</t>
  </si>
  <si>
    <t>Volume assumptions rest entirely on a carbon-subsidized price the enterprise neither controls nor has contracted.</t>
  </si>
  <si>
    <t>Network economics around breakeven without the carbon-subsidized retail price; carbon pass-through needed to sustain volume.</t>
  </si>
  <si>
    <t>Throughput depends on a carbon-subsidized retail price: if carbon weakens, volume collapses.</t>
  </si>
  <si>
    <t>Revenue model: are device sales and carbon revenues modeled separately, with independent assumptions and sensitivities?</t>
  </si>
  <si>
    <t>Streams separated in audited accounts with carbon revenue recognized on a stated policy (issuance vs. delivery vs. cash), and forward/spot exposure disclosed by vintage.</t>
  </si>
  <si>
    <t>Device margins and distribution modeled to hold at ~US$5/tCO2e (near the ~US$4 sector spot average), with the downside scenario driving the funding ask rather than the upside.</t>
  </si>
  <si>
    <t>Device economics positive but requiring moderate carbon support, with the conservative scenario modeled and survivable at a slower pace.</t>
  </si>
  <si>
    <t>The plan is only viable at carbon prices above the sector spot average, with no downside scenario modeled.</t>
  </si>
  <si>
    <t>Device margins and distribution remain viable even at conservative carbon pricing (~US$5/tCO2e, near the ~US$4 sector spot average).</t>
  </si>
  <si>
    <t>Viability at ~US$5/tCO2e demonstrated in audited results, not projection; covenants and debt service survive a fall to spot; US$5 / 12 / 20+ scenarios with vintage and verification-lag haircuts are standing management reporting.</t>
  </si>
  <si>
    <t>CCP-approved methodology, ideally GS Metered &amp; Measured v1-1.2 (highest integrity, ~1.5x over-credited). GS-TPDDTEC v4.0 and Verra VM0050 v1.0 are approved but weaker, with residual over-crediting loopholes. The ICVCM conditions are met: fNRB derived through MoFuSS (or the CDM 0.3 default, valid until December 31, 2025), typically below 0.5, plus robust stove-use monitoring.</t>
  </si>
  <si>
    <t>Buyer discussions underway with no signed agreement; base case modeled at spot rather than a hoped-for forward price.</t>
  </si>
  <si>
    <t>Carbon credit quality and price: is there an independent rating, and where does the realized price sit in the market range?</t>
  </si>
  <si>
    <t>Project designed to rate well (metered MRV, conservative fNRB, documented co-benefits), with a rating engagement (BeZero, Sylvera, Calyx) planned and pricing modeled at the sector spot average, not the premium.</t>
  </si>
  <si>
    <t>Quality intent stated but design choices (methodology, monitoring, fNRB) do not yet support the modeled price.</t>
  </si>
  <si>
    <t>Premium or compliance pricing modeled at design stage with none of the design features that command it.</t>
  </si>
  <si>
    <t>Rating pending; credits sell in the US$4-8/tCO2e range around the sector spot average.</t>
  </si>
  <si>
    <t>Credits unrated on a rejected methodology, below ~US$4, or compliance pricing modeled with no rating.</t>
  </si>
  <si>
    <t>High rating maintained across the portfolio with realized prices consistently in the premium band (CORSIA-eligible or verified co-benefit), and price realization reported against the modeled band each period.</t>
  </si>
  <si>
    <t>Rated but realized prices drifting toward the spot average, or premium concentrated in one project.</t>
  </si>
  <si>
    <t>Portfolio-wide realization at or below ~US$4/tCO2e against a plan that assumed premium pricing: the quality thesis has not been validated by the market.</t>
  </si>
  <si>
    <t>Article 6 readiness: has the host government issued a Letter of Authorization, under what conditions, and are there ITMO transfer restrictions?</t>
  </si>
  <si>
    <t>Compliance pricing excluded from the base case until an LoA exists; the host-country authorization pathway is mapped and engagement has begun.</t>
  </si>
  <si>
    <t>LoA in hand for any Article 6 pricing modeled, with transfer terms understood.</t>
  </si>
  <si>
    <t>Compliance-market pricing modeled as base case with no Letter of Authorization (the single point of failure in the KOKO collapse).</t>
  </si>
  <si>
    <t>LoA held in the principal market but compliance pricing modeled in others where authorization is pending.</t>
  </si>
  <si>
    <t>Capability leaning on a single advisor or partner with the relationship undocumented; device or distribution capability thin.</t>
  </si>
  <si>
    <t>Audited with management-letter points, or carbon revenue recognized earlier than delivery on a policy the auditor has flagged.</t>
  </si>
  <si>
    <t>Realized consumption and ARPU across the operating portfolio at or above benchmark (~6.1 kWh/user/month; ~US$5-8/user/month), with new-site forecasts calibrated to the company's own realized curves rather than to sector averages.</t>
  </si>
  <si>
    <t>Realized performance at benchmark in mature sites but new-site forecasts still above what the portfolio has actually achieved.</t>
  </si>
  <si>
    <t>Realized consumption materially below forecast across the portfolio: the forecasting method has been falsified by the company's own data and not revised.</t>
  </si>
  <si>
    <t>Demand forecast methodology: how was demand modeled, and what assumptions about electric cooking adoption?</t>
  </si>
  <si>
    <t>CAPEX per kWp built bottom-up from real EPC and equipment quotes, benchmarked against the ~US$6,824/kWp African average (2020-24) with the reduction levers identified and costed.</t>
  </si>
  <si>
    <t>Realized CAPEX per kWp and cost per connection at or below benchmark trajectory (~US$733/connection) across built sites, with a demonstrated cost-down curve from standardization and procurement scale.</t>
  </si>
  <si>
    <t>Realized build costs above benchmark across a built portfolio: scale has been achieved without the cost reduction the model depended on.</t>
  </si>
  <si>
    <t>Uptime target defined with the monitoring (SAIDI/SAIFI-equivalent) specified in the design and an O&amp;M model in place before energization.</t>
  </si>
  <si>
    <t>Reserve accounts funded to schedule across the portfolio, evidenced by statements, and sized against realized degradation rather than the original assumption; covenanted where debt is in place.</t>
  </si>
  <si>
    <t>Tariff pathway confirmed with the regulator or under a published methodology before capital is committed; cost-reflectivity demonstrated at the modeled tariff, with the adjustment mechanism understood.</t>
  </si>
  <si>
    <t>Model relies on a tariff the regulator has not approved and there is no adjustment mechanism: the Husk Tanzania tariff-equalization exit is the precedent.</t>
  </si>
  <si>
    <t>Cost-reflective tariffs across the portfolio under a stable regulated framework, with realized adjustments obtained on schedule and grid-arrival/equalization risk assessed site by site.</t>
  </si>
  <si>
    <t>pre-revenue / &lt;US$500K</t>
  </si>
  <si>
    <t>US$50K-US$500K</t>
  </si>
  <si>
    <t>Subsidizes product development, distribution piloting, and MRV setup.</t>
  </si>
  <si>
    <t>US$500K-US$5M revenue</t>
  </si>
  <si>
    <t>US$500K-US$5M</t>
  </si>
  <si>
    <t>Equity or mezzanine for manufacturing scale-up; working capital debt manages the inventory cycle. Specialist lenders (e.g., Spark+ Africa Fund) deploy debt and mezzanine in the US$0.5M-US$7M range across the value chain.</t>
  </si>
  <si>
    <t>&gt;US$5M revenue</t>
  </si>
  <si>
    <t>US$5M+</t>
  </si>
  <si>
    <t>US$250K-US$1M</t>
  </si>
  <si>
    <t>US$1M-US$5M</t>
  </si>
  <si>
    <t>3-5-year tenor debt against verified active-user growth; RBF on usage milestones aligns repayment with actual cash flow (RBF programs pay per verified stove in use).</t>
  </si>
  <si>
    <t>Near-market debt or securitization of the receivables book once cohort performance is proven; carbon forward as a supplementary tranche where metered MRV is in place; DFI co-investment (IFC, FMO, EIB) from US$5M+.</t>
  </si>
  <si>
    <t>US$100K-US$1M</t>
  </si>
  <si>
    <t>US$100K-US$2M</t>
  </si>
  <si>
    <t>US$2M-US$15M</t>
  </si>
  <si>
    <t>A carbon buyer pre-finances device distribution against future credit delivery (proven structure: Envirofit Ghana, where a fixed-price KliK offtake secured US$4M of Spark+ debt, later expanded by US$2.85M).</t>
  </si>
  <si>
    <t>US$15M+</t>
  </si>
  <si>
    <t>Independent MRV verification across all projects; Article 6 LoA in hand before compliance pricing is modeled (the KOKO lesson); diversified offtake book; device revenue covenants.</t>
  </si>
  <si>
    <t>pre-revenue / &lt;US$1M</t>
  </si>
  <si>
    <t>US$1M-US$10M revenue</t>
  </si>
  <si>
    <t>US$5M-US$20M</t>
  </si>
  <si>
    <t>&gt;US$10M revenue</t>
  </si>
  <si>
    <t>US$20M+</t>
  </si>
  <si>
    <t>Note: confirm instrument fit against current market conditions and the investor's mandate. Ticket sizes are indicative, based on observed clean cooking transactions in Africa (Spark+ Africa Fund, AECF TCCP, KCV, Acumen, Launch Africa, EIB, FMO, IFC, MCFA, and the BURN green bond and EIB facility). Blended structures may combine instruments from several rows. For the Carbon Integrated Model, do not draw working-capital debt until at least one full verified issuance cycle is complete. Once the instrument is chosen, use Tool 03 (Sheet 6) to produce the feedback for the enterprise.</t>
  </si>
  <si>
    <t>BROWSE ANY COMBINATION (read-only explorer; it does not affect the live feedback on Sheet 6)</t>
  </si>
  <si>
    <t>FEEDBACK LIBRARY: 5 ARCHETYPES × 3 STAGES × 3 RATINGS (45 profiles; edit here and Sheet 6 and the explorer update automatically)</t>
  </si>
  <si>
    <t>Per Tool 02: catalytic grant with TA (US$50K-US$500K), output-linked to independently verified pilot unit economics before the next tranche. Do not take working-capital debt yet: there is no proven inventory cycle to revolve against.</t>
  </si>
  <si>
    <t>Per Tool 02: revolving working-capital debt plus growth equity or mezzanine (US$500K-US$5M); a first-loss guarantee on the working-capital facility improves pricing; specialist lenders (e.g., Spark+) are active in this range. Size the facility against the inventory cycle and, for fuel makers, feedstock seasonality.</t>
  </si>
  <si>
    <t>The agenda is now terms and depth: maintain the cost-down curve as competitors localize; keep concentration limits covenant-ready; institutionalize succession below the executive bench; consider whether attached-revenue streams justify a platform valuation rather than a manufacturer multiple.</t>
  </si>
  <si>
    <t>Per Tool 02: commercial debt including trade finance and local capital-market issuance (US$5M+), with the BURN green bond as the precedent. Use blended layers only where they buy tenor or currency matching, not to subsidize risk the balance sheet can carry. ECA cover and FX hedging on imported inputs.</t>
  </si>
  <si>
    <t>Move to lender-grade monitoring: covenant reporting, annual re-screen, and exit preparation (strategic or trade sale per Sheet E) on a 4-7-year horizon.</t>
  </si>
  <si>
    <t>Stabilize before growing: stop volume expansion that deepens negative contribution; ring-fence and quantify warranty exposure on the installed base; renegotiate or replace the concentrated counterparty; if covenants rest on carbon, restructure the debt before a price move forces it.</t>
  </si>
  <si>
    <t>Per Tool 02: venture equity plus catalytic grant/TA (US$250K-US$1M), tranched to active-user milestones, with the MFI partnership for the credit function agreed before the receivables book grows. No debt against an unproven book.</t>
  </si>
  <si>
    <t>Do not capitalize a receivables business that cannot yet say whether it is extending credit.</t>
  </si>
  <si>
    <t>Deepen what lenders will price: keep vintages comparable as you enter new markets; new-geography cohorts are where GOs decay; quantify the gender-repayment effect you are likely sitting on and move it into underwriting; document lock-in behaviorally (switching rates), not just structurally.</t>
  </si>
  <si>
    <t>Per Tool 02: blended finance (US$1M-US$5M); 3-5-year patient debt against verified active-user growth, first-loss sized to cohort churn (15-25%), RBF on verified usage. Covenant to PAYGo PERFORM KPIs so today's data discipline becomes tomorrow's pricing advantage.</t>
  </si>
  <si>
    <t>Quarterly cohort reporting against the Sheet F bands; re-run Tool 01B at Scale thresholds before attempting receivables finance or securitization: that is what the Scale criteria on Sheet B are calibrated to.</t>
  </si>
  <si>
    <t>Triage the portfolio before growing it: freeze acquisition, segment the book, and collect or write off honestly; rebuild underwriting (deposits, contract length, screening) on what the failed cohorts teach; reconcile registered-to-active and report the true number; regularize licensing before regulators do it for you.</t>
  </si>
  <si>
    <t>No new debt or equity against this book. If engagement continues, it is TA for portfolio triage and credit-function rebuild, and any RBF should pay only for verified retained customers, never enrollments.</t>
  </si>
  <si>
    <t>Prepare the exit assets: package the cohort data to rating/lender standard; evidence the platform's reliability independent of key engineers; keep new-market vintages visibly at benchmark, since one weak geography can reprice the whole book; formalize 2X qualification.</t>
  </si>
  <si>
    <t>Lender-grade covenant reporting against PAYGo PERFORM; annual full re-screen; begin exit or refinancing preparation on the 5-8-year horizon Sheet E describes.</t>
  </si>
  <si>
    <t>Structure by perimeter: commercial terms against the proven book, blended or first-loss-supported facilities against the newer geographies, cross-default carefully limited. Securitization waits until the pool is clean.</t>
  </si>
  <si>
    <t>Per Tool 02: RBF per verified sale plus an agent stock-finance guarantee plus growth equity/mezzanine for the platform and geographic expansion (US$1M-US$5M), with agent activity auditable from the platform as the covenant base.</t>
  </si>
  <si>
    <t>Shrink to the true network and rebuild: report and manage only active agents; restructure the agent value proposition until a cohort demonstrably earns a livelihood; put stock credit on a policy with aging and provisioning; then (and only then) recruit.</t>
  </si>
  <si>
    <t>The agenda is durability and value capture: keep the platform's audit trail RBF- and covenant-grade; convert the female-agent productivity evidence into 2X-qualified structures; consider what the network is worth to a strategic acquirer seeking last-mile reach: Sheet E's exit route for this archetype.</t>
  </si>
  <si>
    <t>Per Tool 02: blended senior or structured working-capital/receivables facility against digitally verified network throughput (US$5M+), with network-performance covenants (attrition, activity, concentration) drawn from the platform.</t>
  </si>
  <si>
    <t>Standardize or fence: bring expansion-market agent economics to the home standard before they define the brand there; upsize or syndicate the stock-finance facility to the actual plan; build the operating bench in new geographies rather than running them from HQ.</t>
  </si>
  <si>
    <t>Lock the design before registration: commission the MoFuSS derivation; specify metered monitoring in the PDD rather than surveys-with-intentions; paper the advisor relationship or make the hire; convert one buyer conversation into an LoI with a price mechanism before capital is committed against future credits.</t>
  </si>
  <si>
    <t>Tranche the grant against the design locks: MoFuSS commissioned, PDD submitted with metered MRV, advisor contracted. Hold project-development equity until the methodology pathway is confirmed CCP-eligible.</t>
  </si>
  <si>
    <t>Per Tool 02: carbon forward purchase/pre-payment plus RBF on distribution milestones plus working-capital debt (US$2M-US$15M); the Envirofit/KliK/Spark+ structure is the template: offtake-collateralized, floor-priced, working-capital debt drawn only after the first verified cycle.</t>
  </si>
  <si>
    <t>Report issuance-vs.-projection and realized price against the modeled band each cycle; re-run Tool 01B at Scale thresholds before portfolio-level or green-bond financing.</t>
  </si>
  <si>
    <t>Structure the exposure down: negotiate the floor and a second buyer before expanding distribution against forward credits; complete the ICVCM-condition transition on a dated plan; if the rating is pending, prioritize it: the price band it unlocks changes the whole capital structure.</t>
  </si>
  <si>
    <t>No carbon-collateralized instrument is prudent: that is precisely the structure that fails here. Grant funding for the methodology migration and MRV upgrade is the constructive engagement, if any.</t>
  </si>
  <si>
    <t>Institutionalize the franchise: maintain the rating across the portfolio, not just the flagship project; deepen the origination function beyond key relationships; document the co-benefit evidence (gender premiums per Gold Standard/SD VISta) that supports the US$28-35 band; prepare the aggregator/developer exit narrative.</t>
  </si>
  <si>
    <t>Clean the tail before the facility: complete the vintage migration and disclose the revenue impact rather than amortizing it quietly; broaden the buyer book to the point where the largest default is survivable; build the carbon function to portfolio depth; align revenue recognition with delivery.</t>
  </si>
  <si>
    <t>The priorities are portfolio finance and hold strategy: standardize site documentation for a portfolio facility or refinancing; assess grid-arrival and tariff-equalization risk site by site before it becomes a problem; decide deliberately between a long-term hold and a sale to a yield fund. Venture return expectations do not fit and should not creep back in.</t>
  </si>
  <si>
    <t>Carbon revenue modeled as guaranteed; compliance-market prices assumed without an LoA; device and carbon revenue presented as one income stream with no downside scenarios.</t>
  </si>
  <si>
    <t>Positive only at donor-subsidized price</t>
  </si>
  <si>
    <t>Cost per unit vs. comparable imports</t>
  </si>
  <si>
    <t>US$4-8 (around the ~US$4 sector spot average)</t>
  </si>
  <si>
    <t>LoA issued: compliance prices can be modeled</t>
  </si>
  <si>
    <t>None: VCM only (modeling compliance prices without an LoA was KOKO's failure pattern)</t>
  </si>
  <si>
    <t>ARPU (US$/user/month)</t>
  </si>
  <si>
    <t>Within or above ~US$5-8</t>
  </si>
  <si>
    <t>US$3-5</t>
  </si>
  <si>
    <t>&lt;US$3</t>
  </si>
  <si>
    <t>At/below the ~US$6,824 2020-24 African average with a falling trajectory (global benchmark ~US$3,000)</t>
  </si>
  <si>
    <t>Cost per connection (US$)</t>
  </si>
  <si>
    <t>Government-backed institution providing concessional or catalytic capital (e.g., IFC, FMO, EIB).</t>
  </si>
  <si>
    <t>Annualized return on an investment over its holding period.</t>
  </si>
  <si>
    <t>Manufacturer of the cooking device; underwriting analog for the Product Seller.</t>
  </si>
  <si>
    <t>Grant or subsidy paid against verified outputs (e.g., units sold, active users).</t>
  </si>
  <si>
    <t>Itemized component cost of a device; the basis for unit-economics analysis.</t>
  </si>
  <si>
    <t>Cooking powered by electricity, e.g., as a load layer on a mini-grid.</t>
  </si>
  <si>
    <t>Class of CDM small-scale methodologies (e.g., AMS-I.E, AMS-II.G).</t>
  </si>
  <si>
    <t>Verra framework for certifying co-benefits (e.g., gender).</t>
  </si>
  <si>
    <t>Letter of Authorization</t>
  </si>
  <si>
    <t>Host-government authorization required to sell credits into Article 6 compliance markets.</t>
  </si>
  <si>
    <t>Private generator of electricity; underwriting analog for the Infrastructure Utility.</t>
  </si>
  <si>
    <t>SECTOR BODIES, PROGRAMS &amp; DATA SOURCES</t>
  </si>
  <si>
    <t>Results-based financing program for clean cooking.</t>
  </si>
  <si>
    <t>An enterprise that keeps ownership of the cooking device, or exclusive control of the fuel supply, and charges households regularly for continued access through smart-metered LPG, an IoT-locked device or a prepaid fuel account.
The test: the customer can only cook while payments continue, so revenue depends on repayment (PAYGo) or retention (subscription), not on units shipped.</t>
  </si>
  <si>
    <t>Customer performance risk (check retention and ARPU by cohort, not in aggregate); credit risk on PAYGo books (do not apply PAYGo solar default rates without market evidence); regulatory risk from consumer-finance licensing; weak lock-in, which undermines recurring cash flows.</t>
  </si>
  <si>
    <t>DFI or donor first-loss tranche (typically 15-25% of a blended debt facility, sized to cohort churn risk); MFI partnership for the credit function; access to MNO payment rails and interoperability (treat the quality of payment rails as a condition for market entry); clear rules on PAYGo consumer-finance licensing.</t>
  </si>
  <si>
    <t>Blended equity and patient debt matched to 12-36-month breakeven; RBF against verified active users; MFI partnership for the credit function; concessional first-loss tranche; carbon pre-finance where metered MRV is in place.</t>
  </si>
  <si>
    <t>Infrastructure yield: lower but more predictable returns from tariff income over a 15-20-year asset life, with paybacks of 7-15 years. Holding periods must match: long-term hold, refinancing once operations are stable, or sale to a yield-focused fund. Venture return expectations do not fit this archetype.</t>
  </si>
  <si>
    <t>Circle Gas / M-Gas (Kenya, Tanzania); Bboxx (DRC, Rwanda, Kenya); PAYGo Energy (Kenya; acquired by Sun King).</t>
  </si>
  <si>
    <t>Proven exits: KopaGas acquired by Circle Gas, and PAYGo Energy acquired by Sun King. These are the clearest evidence that recurring-revenue clean cooking models can be acquired. PAYGo solar lending practice (e.g., Oikocredit lending through local financial institutions) offers an established financing approach to adapt.</t>
  </si>
  <si>
    <t>⚑ Red flag: no clear line between PAYGo and subscription, which hides the real financial risk; or active customers far below registered users with no credible explanation (the most common sign of hidden churn).</t>
  </si>
  <si>
    <t>PAYGo and subscription conflated, so underlying credit risk is not visible.</t>
  </si>
  <si>
    <t>Repayment performance (PAYGo): how much of what customers owe is actually collected, is delinquency tracked, and do customers reach ownership?</t>
  </si>
  <si>
    <t>Subscription/PAYGo already profitable on access revenue alone; metered devices generate direct-measurement MRV data suited to the high-integrity Gold Standard Metered &amp; Measured methodology, supporting premium credit pricing; carbon is used to expand affordable access to lower-ARPU households.</t>
  </si>
  <si>
    <t>Patient capital for IoT infrastructure and early customer acquisition; grant/TA covers PAYGo system setup and credit-function piloting.</t>
  </si>
  <si>
    <t>Protect what earned the rating: complete the commercial pilot at the unsubsidized price point before scaling the cost base; lock supplier quotes into contracts; keep the field-return log running from unit one; document the cost-parity levers so the Growth Stage Q4 test can be passed on evidence, not argument.</t>
  </si>
  <si>
    <t>Return for Growth Stage screening once paying-customer revenue is real and ≥12 months of sales, failure and margin data exist: the Tool 01B thresholds you will face next are on Sheet B.</t>
  </si>
  <si>
    <t>Per Tool 02: commercial debt or receivables securitization plus carbon pre-finance where metered MRV is proven (US$5M+; DFI co-investment from US$5M): the KopaGas/Circle Gas and PAYGo Energy/Sun King precedents show this archetype exits to platforms; a refinanced book is also itself an exit.</t>
  </si>
  <si>
    <t>Re-engagement requires a right-sized network holding the Growth Stage bands for two quarters plus a reconciled stock book, then a full re-screen; the stage may honestly re-read as Growth.</t>
  </si>
  <si>
    <t>Return for Growth Stage screening after the first verification cycle produces a result: the ≥2-cycle track record and offtake tests that gate at Growth are on Sheet B.</t>
  </si>
  <si>
    <t>Clean cooking has already produced commercially viable exits: Circle Gas's acquisition of KopaGas, Sun King's acquisition of PAYGo Energy, and a growing number of strategic acquisitions and refinancings. But each archetype creates value differently. Applying venture-style return expectations to infrastructure businesses, or infrastructure-style holding periods to recurring-revenue models, leads to the wrong structures and missed opportunities. Return profiles and holding periods for each archetype are summarized on Sheet 2 (row: Return profile &amp; typical holding period).</t>
  </si>
  <si>
    <t>Strong retention and predictable recurring revenue attract strategic buyers and lenders. Examples: KopaGas acquired by Circle Gas; PAYGo Energy acquired by Sun King (2023, now Sun King's clean cooking team).</t>
  </si>
  <si>
    <t>Notes: For the Access Provider, confirm whether the model is PAYGo (a receivables book with default risk) or SaaP (subscription with churn risk) and use the matching rows; do not blend the two. GOGLA PAYGo PERFORM is off-grid solar data used as a calibrated proxy (its 2026 v3 release focuses on Repayment Rate and Customer Ownership Rate). Do not apply it to cooking without market-specific evidence. GOGLA data also shows that repayment varies by region (West Africa ~77% vs. East Africa ~69%) and improves with deposits above 10% and shorter contracts. For the Carbon Integrated Model, model compliance prices only where a Letter of Authorization is in place, and check the fNRB derivation as part of standard carbon due diligence. The ICVCM CCP label requires fNRB derived through MoFuSS (or the CDM 0.3 default, valid until December 31, 2025), which is typically below 0.5, compared with a pre-reform market average of ~0.86.</t>
  </si>
  <si>
    <t>Pre-tax profit; used in PAYGo profitability benchmarking.</t>
  </si>
  <si>
    <t>PAYGo</t>
  </si>
  <si>
    <t>Subscription/metered access model where credit risk does not sit on the enterprise balance sheet, as distinct from PAYGo.</t>
  </si>
  <si>
    <t>KPI framework for PAYGo portfolio performance (Repayment Rate, Customer Ownership Rate).</t>
  </si>
  <si>
    <t>Anchor identified and in negotiation, with the financial model still assuming household demand for most of revenue.</t>
  </si>
  <si>
    <t>Build the plumbing before the book: implement cohort tracking before the next deployment wave; sign (not discuss) the MFI partnership or make the credit hire; run the pilot long enough to observe 90-day repayment before extrapolating; get a legal opinion on consumer-finance licensing.</t>
  </si>
  <si>
    <t>THE FIVE ARCHETYPES' INVESTMENT PROFILES</t>
  </si>
  <si>
    <r>
      <t xml:space="preserve">Does the enterprise keep ownership or control of a household cooking device or fuel account (smart-metered LPG, IoT-locked stove, prepaid fuel) and charge the household recurring fees for continued access?
</t>
    </r>
    <r>
      <rPr>
        <i/>
        <sz val="10"/>
        <color theme="1"/>
        <rFont val="Avenir Next LT Pro"/>
        <family val="2"/>
      </rPr>
      <t>(If it runs shared community generation or distribution infrastructure, answer No here and answer Q5.)</t>
    </r>
  </si>
  <si>
    <t>Weighted stage score (M1 carries double weight; Early = 1, Growth = 2, Scale = 3; ≤1.6 = Early Stage, ≤2.4 = Growth Stage, &gt;2.4 = Scale):</t>
  </si>
  <si>
    <r>
      <t xml:space="preserve">What was your total revenue over the last 12 months, in US$? Give the figure for the whole business, including grant-funded sales. Use actual revenue, not pipeline. 
</t>
    </r>
    <r>
      <rPr>
        <i/>
        <sz val="10"/>
        <rFont val="Avenir Next LT Pro"/>
        <family val="2"/>
      </rPr>
      <t>(This answer carries double weight because the financing bands in Tool 02 are based on it.)</t>
    </r>
  </si>
  <si>
    <t>Select an answer</t>
  </si>
  <si>
    <r>
      <rPr>
        <b/>
        <sz val="10"/>
        <rFont val="Avenir Next LT Pro"/>
        <family val="2"/>
      </rPr>
      <t xml:space="preserve">Some enterprises fit two archetypes. </t>
    </r>
    <r>
      <rPr>
        <sz val="10"/>
        <rFont val="Avenir Next LT Pro"/>
        <family val="2"/>
      </rPr>
      <t xml:space="preserve">For example, a Product Seller that has added a carbon program (01 plus 04), or an Access Provider that sells through agents (02 plus 03).
</t>
    </r>
    <r>
      <rPr>
        <b/>
        <sz val="10"/>
        <rFont val="Avenir Next LT Pro"/>
        <family val="2"/>
      </rPr>
      <t>Classify the enterprise by its main revenue stream:</t>
    </r>
    <r>
      <rPr>
        <sz val="10"/>
        <rFont val="Avenir Next LT Pro"/>
        <family val="2"/>
      </rPr>
      <t xml:space="preserve"> the one the business could not survive without. Then use the other archetype's gating questions as extra checks.
Set one stage for the whole enterprise, not for each part. For example, a Product Seller at Scale running its first carbon cycle is screened at Scale, and its carbon activity is treated as an Early Stage risk. This is where the carbon-as-surplus test matters most.</t>
    </r>
  </si>
  <si>
    <t>Next step: go to Tool 02 (Sheet 5) for the capital recommendation, then Tool 03 (Sheet 6) for feedback to the enterprise. Both have already loaded for this archetype and stage.</t>
  </si>
  <si>
    <t>Use this sheet once Tool 01B gives GO or HOLD &amp; STRUCTURE. You don't need to select anything. It takes the archetype and stage from Sheet A and loads the matching capital recommendation from Sheet C.
To compare other archetypes and stages, see Sheet C. It shows all 15 combinations, with the active one highlighted. Review the structuring considerations at the bottom before closing any deal.</t>
  </si>
  <si>
    <t>SCREENED SELECTION (read from Sheet A; nothing to select here)</t>
  </si>
  <si>
    <t>Note: this panel shows one of the 15 rows on Sheet C. Check the fit against current market conditions and the investor's mandate. Blended deals may combine instruments from several rows. For the Carbon Integrated Model, also read the caution on carbon as collateral below.</t>
  </si>
  <si>
    <t>CROSS-CUTTING STRUCTURING CONSIDERATIONS (apply to every archetype)</t>
  </si>
  <si>
    <t>Debt secured on carbon offtake can work (Envirofit/KliK/Spark+), but only when the offtake is contracted with a creditworthy buyer at a floor price AND any Article 6 Letter of Authorization (LoA) needed for compliance credits is in place. KOKO's insolvency in January 2026, after raising more than US$100M of carbon finance, is the key warning: never lend against uncontracted or unauthorized carbon revenue.</t>
  </si>
  <si>
    <t>Deals that meet 2X Challenge criteria (women in leadership or the workforce, or products serving women) unlock dedicated DFI capital. In carbon deals, verified gender co-benefits can also earn higher prices (Gold Standard Gender Equality Requirements; Verra SD VISta). Build the data requirement into covenants from day one.</t>
  </si>
  <si>
    <t>Sources for instruments and ticket sizes are on Sheet C. The archetype and stage come from Sheet A, which reads the Tool 01A screen on Sheet 3.</t>
  </si>
  <si>
    <t>This table turns each Tool 01B rating into a diagnosis. WHAT THE RATING INDICATES shows the matching criterion at this stage (from Sheet B). BENCHMARK TO CLOSE shows the Green standard the enterprise must reach. Gating flags mark where a Red rating cannot be offset by strengths elsewhere. Green rows show what to protect, not only what to fix. Key benchmarks from Sheet F are below the table.</t>
  </si>
  <si>
    <t>All 45 feedback profiles (5 archetypes × 3 stages × 3 ratings) are on Sheet D, with an explorer to browse any combination. Edit the text there and this sheet updates automatically.</t>
  </si>
  <si>
    <t>Not investable as presented: the design gaps must be resolved before any capital, including grant, is committed.</t>
  </si>
  <si>
    <t>No instrument on the Tool 02 matrix fits a gating Red at this stage. If a funder wishes to stay engaged, the honest vehicle is TA to redesign and test the model: explicitly not investment.</t>
  </si>
  <si>
    <t>Fundamentals fit the archetype, but the Amber ratings must be structured or resolved before drawdown.</t>
  </si>
  <si>
    <t>Do not proceed on current facts: the concerns are too serious for structure to fix.</t>
  </si>
  <si>
    <t>Re-engagement requires a restructured base: audited evidence that contribution is positive without subsidy and the gating Red ratings are cleared, then a full re-screen from Tool 01A; the stage itself may re-read lower after restructuring.</t>
  </si>
  <si>
    <t>A real business with a financeable core, but the Amber ratings sit exactly where this archetype fails: resolve them before leverage.</t>
  </si>
  <si>
    <t>Fix the weakest link first: if margin is Amber, restructure commissions before recruiting more agents onto a losing proposition; if activity is Amber, reconcile recruited-to-active and stop counting the dormant; if stock defaults are rising, tighten credit policy and provisioning now, while the number is small.</t>
  </si>
  <si>
    <t>Weight capital toward RBF (pays only for verified throughput) and the stock-finance guarantee; hold growth equity until the Amber metric shows two quarters of improvement. Do not fund recruitment drives while activity or margin is Amber.</t>
  </si>
  <si>
    <t>The model is clearly chosen and stated, and credit risk is placed on purpose (own balance sheet, an MFI partner, or none in a prepaid design). The accounting and data systems keep the models separate from day one.</t>
  </si>
  <si>
    <t>Build cost per kWp at or below the sector trend, with a credible path down at scale. African mini-grid CAPEX averaged ~US$6,824/kWp over 2020-24, ~2.3x the ~US$3,000 global benchmark, and has fallen ~20% since 2020. High cost is normal, but it must be falling.</t>
  </si>
  <si>
    <t>Default fNRB at or above ~0.86 assumed to make the project economics work: the revenue is a modeling artifact.</t>
  </si>
  <si>
    <t>For fund managers investing across a portfolio, the Instrument Matrix supports a mandate that spreads capital across archetypes instead of treating all clean cooking investments as the same. A mix of capital-light Network Distributors, medium-intensity Product Sellers, and capital-intensive Access Providers and Infrastructure Utilities gives assets with different cash flows and low correlation. This produces better risk-adjusted returns and wider sector impact than defaulting to the most familiar archetype.</t>
  </si>
  <si>
    <t>Metric Tons of CO2 Equivalent</t>
  </si>
  <si>
    <t>Do not fund a project whose revenue is a modeling artifact: the design choices point to over-crediting or phantom pricing.</t>
  </si>
  <si>
    <t>Compound the integrity advantage: pursue the independent rating if not yet held; it is what separates US$4 credits from US$14-39 credits; diversify the buyer book past the anchor; keep the US$5/12/20+ scenario discipline as standing reporting rather than a diligence artifact.</t>
  </si>
  <si>
    <t>A GO at Early Stage means the design work is done right. A commercial pricing test exists or is funded, and the BOM and landed cost are built bottom-up. Warranty and gender data collection are built in, and any carbon is treated as upside on a CCP-eligible pathway.</t>
  </si>
  <si>
    <t>A NO-GO at Early Stage usually means a gating Red. Either there is no evidence that customers will pay a commercial price and the plan assumes donor procurement forever, or the plan depends on carbon credits that do not yet exist. These are design problems, not execution problems.</t>
  </si>
  <si>
    <t>A GO at Growth Stage means paying customers make up more than 50% of revenue across markets. Units are contribution-positive, with a costed path to cover overheads. Warranty exposure is measured and reserved, and carbon is a surplus, not a lifeline. The archetype's classic failure modes are all under control.</t>
  </si>
  <si>
    <t>A NO-GO at Growth Stage means less than 20% paying revenue with a donor dependency not yet replaced, negative unit margins kept alive only by subsidy, or a model that depends on carbon. This is the exact failure pattern Sheet E records for this archetype: revenue collapses when procurement contracts end.</t>
  </si>
  <si>
    <t>A GO at Scale means audited paying revenue above 60% across markets, with no dangerous counterparty concentration. Contribution holds across product lines, and warranty data is analyzed by vintage. Carbon could fall to spot prices without breaching anything. This is a truly institutional Product Seller.</t>
  </si>
  <si>
    <t>A HOLD at Scale usually reflects concentration (a donor or institutional buyer at 20-35% of revenue), a cost-down curve that has flattened, reserves not analyzed by vintage, or a thin team below senior management. These are bankability gaps, not viability gaps.</t>
  </si>
  <si>
    <t>A NO-GO at Scale is serious because volume has already been tested. Signs include paying revenue below 40%, device margin that still does not cover overheads, failure rates above 10% on the installed base, or covenants sized on carbon. More growth will make these problems worse, not fix them.</t>
  </si>
  <si>
    <t>A HOLD at Early Stage usually reflects a chosen model whose data systems do not yet separate the revenue streams, credit-risk skills left for later, or payback modeled on assumed churn instead of pilot data.</t>
  </si>
  <si>
    <t>A NO-GO at Early Stage means the core risk is undefined: the team cannot say where credit risk sits. Or devices are being deployed with no way to track collections against what is owed, or the plan breaks licensing rules by design. Growing from here builds a book that cannot be measured.</t>
  </si>
  <si>
    <t>A GO at Growth Stage means repayment at or near the ≥90% top-performer band, with real cohort tracking. 12-month active rates are ≥80%, and breakeven falls within 12-36 months at current churn. Licensing is in place, and any carbon is a true surplus on metered MRV.</t>
  </si>
  <si>
    <t>A HOLD at Growth Stage usually means repayment in the 72-90% band, active rates of 60-80%, breakeven drifting past 36 months, or revenue models that are blended but can be reconciled. None of these is fatal. All are early warning signs that Sheet E lists for this archetype's failure mode.</t>
  </si>
  <si>
    <t>A NO-GO at Growth Stage means repayment below 72% and moving toward the &lt;60% distress zone, or active customers far below registered ones with no explanation. Other signs: ARPU that cannot recover the device cost in any realistic time, operating without a license, or a P&amp;L that depends on carbon.</t>
  </si>
  <si>
    <t>A GO at Scale means ≥90% repayment held across vintages and geographies, and ownership rates ≥85%. Revenue streams are separated in audited accounts, with a defensible provisioning policy. The business is licensed everywhere it operates, and carbon is a surplus even at spot prices. This profile supports securitization.</t>
  </si>
  <si>
    <t>A HOLD at Scale usually means strong home-market vintages hiding weaker cohorts in new markets that are now material to the book. It can also mean provisioning that makes vintage performance look better than it is, or a credit team stretched thin by expansion.</t>
  </si>
  <si>
    <t>A NO-GO at Scale means portfolio repayment below 80% with worsening vintages, headline customers that cannot be matched to active payers, under-provisioned receivables, or carbon borrowed against without floors or LoAs. At this size, these problems hit the balance sheet.</t>
  </si>
  <si>
    <t>A GO at Early Stage means the agent, the core unit of the business, has been costed bottom-up against the local livelihood threshold and tested with real agents. The stock-finance model is chosen, with a clear risk owner. Digital tracking runs from the first cohort, and recruitment is designed to reach women.</t>
  </si>
  <si>
    <t>A HOLD at Early Stage usually reflects an agent margin that is modeled but not tested, a design where agency is only a side income, informal case-by-case credit from the parent company, or manual tracking while the platform is still being specified.</t>
  </si>
  <si>
    <t>A NO-GO at Early Stage means there is no agent-level margin model, the whole pilot rests on two or three people being scaled up into a network, or inventory financing is not addressed in the design. That builds the growth constraint in from day one.</t>
  </si>
  <si>
    <t>A GO at Growth Stage means ≥70% of recruited agents are active at 30 days, and margin per agent supports a primary livelihood. A working stock-finance solution linked to an MFI keeps defaults under 5% and is monitored. Sales are spread widely across agents, and quality is controlled digitally.</t>
  </si>
  <si>
    <t>A HOLD at Growth Stage usually means activity moving between 50% and 70%, agency viable only as a side income, stock defaults rising through 5-10%, or the top 20% of agents carrying 50-70% of volume. Sheet E links each of these early signs to network collapse.</t>
  </si>
  <si>
    <t>A NO-GO at Growth Stage means most recruited agents are inactive (&lt;50% active), margins are below subsistence so agents will keep leaving, or stock defaults are above 10% or not monitored. It can also mean revenue rests on a handful of agents with no backup plan.</t>
  </si>
  <si>
    <t>A GO at Scale means activity and margin hold across geographies and cohorts, and stock finance is institutional and sized to the growth plan. Concentration is under 50% at portfolio and geography level. Complaint and quality data are acted on, and audits are clean, with agent stock reconciled.</t>
  </si>
  <si>
    <t>A HOLD at Scale usually means margins in expansion markets fall below the livelihood threshold while the home market holds. Other signs: activity is strong in mature cohorts but weak in the newest, the stock facility is now too small for the growth plan, or one geography is critically concentrated.</t>
  </si>
  <si>
    <t>A NO-GO at Scale means margin per agent is falling as the network grows, activity is below 50% across the portfolio, or parent stock credit is above 10% default or not reconciled. It can also mean quality problems the parent cannot see. The business has become an unmanaged lender with an asset no one can verify.</t>
  </si>
  <si>
    <t>A GO at Early Stage means the methodology was chosen for CCP eligibility before registration (ideally GS Metered &amp; Measured). MoFuSS-derived fNRB and metered MRV are in the design, and device economics hold at ~US$5/tCO2e. Compliance pricing is left out until an LoA exists, and carbon rights are documented.</t>
  </si>
  <si>
    <t>A HOLD at Early Stage usually means a CCP methodology is planned but fNRB and monitoring are not yet specified, or a conditionally approved methodology was chosen without meeting its conditions. Other signs: buyer talks with nothing signed, or skills that depend on one undocumented advisor.</t>
  </si>
  <si>
    <t>A NO-GO at Early Stage means a rejected or legacy methodology was chosen for speed or yield (the ~9.2x over-crediting group), or default fNRB at ~0.86 is assumed to make the economics work. Other signs: compliance pricing in the base case before the government has been approached, or capital raised against buyers who do not exist.</t>
  </si>
  <si>
    <t>A GO at Growth Stage means ≥2 verified cycles with volumes matching projections and a CCP methodology that meets the ICVCM conditions. There is a creditworthy forward offtake with a floor price, and devices are viable at ~US$5/tCO2e. Compliance pricing is modeled only where an LoA exists. This is the full anti-KOKO profile.</t>
  </si>
  <si>
    <t>A HOLD at Growth Stage usually means a single buyer with no floor price, or credits selling at US$4-8 against a plan that assumes premium prices. Other signs: one verification cycle underway but not yet proven, or a conditionally approved methodology still moving to meet the fNRB and monitoring conditions.</t>
  </si>
  <si>
    <t>A NO-GO at Growth Stage means the business fails if carbon prices fall or credits are delayed, or no verification cycle has finished while revenue depends on credits. Other signs: compliance pricing in the base case without an LoA, or issuance on a legacy methodology with no transition plan. These are single points of failure, not just risks.</t>
  </si>
  <si>
    <t>A GO at Scale means every project uses a CCP methodology and legacy vintages have been migrated. Issuance is consistently close to projections across projects. The buyer book is diversified and floor-priced, so one default cannot breach debt service. LoAs exist wherever compliance pricing is modeled, and covenants hold at spot prices.</t>
  </si>
  <si>
    <t>A HOLD at Scale usually means legacy vintages are still material to revenue, with a dated migration plan, or offtake is concentrated in one or two buyers. Other signs: realized prices drifting toward spot against a premium-priced plan, or a carbon team that depends on one or two key people for portfolio-level obligations.</t>
  </si>
  <si>
    <t>A NO-GO at Scale means debt or covenants are sized on carbon prices above spot, or legacy or rejected methodologies are material to the portfolio. At this size, a backdated cut in credit volumes hits the balance sheet. Other signs: compliance pricing built in without LoAs, or issuance repeatedly and materially below projections.</t>
  </si>
  <si>
    <t>A GO at Early Stage means a signed anchor MOU or LoI covers a material share of load. Demand is built bottom-up from gender-disaggregated surveys, with conservative eCooking assumptions. CAPEX comes from real EPC quotes, checked against the ~US$6,824/kWp benchmark. The tariff pathway is confirmed with the regulator, and a currency strategy is costed into the model.</t>
  </si>
  <si>
    <t>A HOLD at Early Stage usually means an anchor is identified but the model still leans on household demand, or consumption assumptions are above benchmark and only partly justified. Other signs: CAPEX from benchmarks instead of quotes, a tariff assumed without regulator confirmation, or hedging "to be arranged."</t>
  </si>
  <si>
    <t>A GO at Growth Stage means a creditworthy multi-year anchor with volume and escalation terms. Realized consumption is in line with the ~6.1 kWh/user/month benchmark, and uptime is ≥95% and tracked. Tariffs are cost-reflective, with a predictable adjustment process. The O&amp;M reserve is funded or being funded, and the currency position is managed.</t>
  </si>
  <si>
    <t>A HOLD at Growth Stage usually means a meaningful share of revenue still depends on household PAYGo cooking demand, or consumption assumptions are above what the site has achieved. Other signs: a partial or unfunded O&amp;M reserve, an adjustment process that exists on paper but has never been used, or hard-currency debt that is only partly hedged.</t>
  </si>
  <si>
    <t>A NO-GO at Growth Stage means there is no secured anchor and revenue depends on projected household cooking demand. Other signs: realized consumption well below forecast with the same method still in use, tariffs that lose money with no adjustment mechanism, or an unhedged currency mismatch that a depreciation alone would breach.</t>
  </si>
  <si>
    <t>A GO at Scale means anchor contracts across the portfolio, with take-or-pay or guaranteed-volume terms. Realized consumption and ARPU are at benchmark, and forecasts are based on the company's own data. Each site has ≥95% uptime, and reserves are funded on schedule and covenanted. Tariffs are cost-reflective under a stable framework, and senior debt has no unhedged currency mismatch.</t>
  </si>
  <si>
    <t>A HOLD at Scale usually means weaker anchor terms or coverage at the newest sites, which are now material to portfolio revenue. Other signs: portfolio uptime hiding sites that underperform, reserves behind schedule with a catch-up plan, a delayed tariff adjustment, or an older unhedged hard-currency tranche.</t>
  </si>
  <si>
    <t>A NO-GO at Scale means portfolio debt is sized on household cooking demand instead of contracted anchors, or there is a portfolio-wide adoption shortfall and the same forecasting method is still in use. Other signs: tariffs below cost with no adjustment obtained, reserves unfunded as the first major replacements approach, or a material unhedged currency mismatch on senior debt.</t>
  </si>
  <si>
    <t>Return for Growth Stage screening once ≥70% 30-day activity and a stable margin per agent are shown across a real cohort. These are the bands on Sheets B and F that the next screen applies.</t>
  </si>
  <si>
    <t>Shrink back to health. Cut inactive geographies and restore agent margin, even if the network gets smaller. Reconcile and provision the stock book. Re-establish quality control before mis-selling defines the brand in the field.</t>
  </si>
  <si>
    <t>Hard-currency debt anticipated with hedging "to be arranged" and no cost carried in the model.</t>
  </si>
  <si>
    <t>Basis for the "Indicative" benchmark thresholds in this toolkit.</t>
  </si>
  <si>
    <t>Return for Growth Stage screening once ≥12 months of cohort data exist; the repayment and churn thresholds you will face are the GOGLA-anchored bands on Sheets B and F.</t>
  </si>
  <si>
    <t>Return for Growth Stage screening at or after energization with realized consumption data: the AMDA-anchored bands (≥6.1 kWh/user/month, uptime ≥95%) on Sheets B and F are what the operating asset will be tested against.</t>
  </si>
  <si>
    <t>Identify the archetype and stage: Build a pipeline by target archetype, stage, and geography, then use the Quick-Screen (Tool 01A) to confirm which archetype the enterprise fits and which maturity stage it has reached. Both results drive every later step.</t>
  </si>
  <si>
    <t>A manufacturer or assembler of clean cooking devices (ICS, LPG, or e-cookstoves) that earns its revenue once, at the point of sale, and transfers full ownership to the buyer.
The test: if the commercial relationship with the customer ends when the device changes hands, it is a Product Seller, even if a carbon or RBF layer sits on top.</t>
  </si>
  <si>
    <t>A consumer durables manufacturer (appliance OEM): volume × margin economics, working-capital cycles, and FX exposure on imported inputs. 
Underwrite it like consumer goods manufacturing.</t>
  </si>
  <si>
    <t>A mix of PAYGo solar, prepaid telecoms, and asset finance: a receivables book or subscription base running on mobile money. 
Underwrite PAYGo like consumer lending (repayment, PAR-30, cohorts) and subscriptions like SaaS (retention and usage metrics, not margins). Adjust PAYGo solar benchmarks for cooking before using them.</t>
  </si>
  <si>
    <t>FMCG micro-distribution or direct selling (an Avon-style agent network): margin on sales volume, where network health is the core asset.
Underwrite it like a distribution business: agent economics, activity rates, and concentration.</t>
  </si>
  <si>
    <t>Assess it as two linked businesses: the device or consumer business, underwritten like consumer goods, and the carbon project development business, underwritten like contracted commodity receivables. 
Model each revenue stream separately, with clear assumptions on timing, carbon prices, verification, and regulatory risk.</t>
  </si>
  <si>
    <t>One-time product sales: full ownership passes to the buyer at the point of sale.
Margins depend on manufacturing efficiency, purchasing scale, and distribution reach. There is little recurring revenue unless after-sales services are bundled in.</t>
  </si>
  <si>
    <t>Recurring customer payments for continued access: the enterprise keeps ownership of the device or control of the fuel supply (smart-metered LPG, IoT-locked device, or prepaid fuel account).
Profitability depends on repayment rates, retention, and customer lifetime value.</t>
  </si>
  <si>
    <t>Margin on products sold through a network of independent last-mile agents.
Value = active agents × sales per agent (network throughput), not direct customer relationships.
Needs ongoing investment in agent training, stock financing, and digital monitoring.</t>
  </si>
  <si>
    <t>i. Institutional anchor customers such as schools, clinics, government offices, telecom towers, agri-processors, and UNHCR/WFP (the main segment, which reduces risk), plus 
ii. Households in the service area (secondary but needed for volume; cooking load grows slowly).</t>
  </si>
  <si>
    <t>MEDIUM
Upfront plant, equipment, and tooling for local manufacturing; ongoing operating costs to run the plant (OPEX); long working-capital cycles; significant FX exposure on imported inputs (e.g., fans, burners, and electronic controls, often sourced from China).</t>
  </si>
  <si>
    <t>HIGH
Most costs are paid upfront, before recurring revenue arrives: device subsidy, IoT metering, the payment platform, and customer acquisition. Each group of customers typically takes 12-36 months to pay back these costs, so Growth Stage businesses need patient capital and blended finance.</t>
  </si>
  <si>
    <t>VERY HIGH
Generation, distribution, metering, and appliances are paid for upfront; assets last 15-20 years and take 7-15 years to pay back. Capital structures rely on long-tenor debt and concessional capital.</t>
  </si>
  <si>
    <t>Usually indirect and limited. Distributors take part in carbon programs run by manufacturers or developers, or receive a share of carbon rights from the manufacturer. Upstream carbon revenue can lower prices, raise agent commissions, and expand distribution. Access is through aggregation rather than standalone projects.</t>
  </si>
  <si>
    <t>Design payments around women's control (flexible enrollment, sign-up, and support channels for women). Evidence links this to better repayment and retention, despite women's lower access to phones and mobile money. The credit history created can also support bundled products, such as energy and water products.</t>
  </si>
  <si>
    <t>Concentrated in East Africa, especially Kenya, with mature manufacturing, distribution, RBF programs, and consumer finance. The pipeline is thinner in West and Central Africa.</t>
  </si>
  <si>
    <t>Article 6 readiness concentrates bankable carbon projects in Kenya, Ghana, Tanzania, and Rwanda. Ghana completed one of Africa's first Article 6.2 clean cooking activities (KliK, 2024). Kenya's KOKO case shows that how regulation is implemented matters as much as policy readiness. Most West and Central African markets offer VCM pricing only.</t>
  </si>
  <si>
    <t>MFI consumer financing (e.g., Faulu MFB and KWFT pilots); donor RBF paid against verified unit sales (MCFA, AECF TCCP); institutional procurement frameworks (governments, UNHCR, WFP); supporting infrastructure (energy, space, transport, and roads).</t>
  </si>
  <si>
    <t>Carbon forward purchase or pre-payment; catalytic equity for project development; grants for MRV infrastructure (GCF, MCFA, bilateral donors); working-capital debt only after the first verified issuance cycle. Model carbon at US$5, 12, and 20+ scenarios, with haircuts for verification delays, methodology revisions, and vintage discounts.</t>
  </si>
  <si>
    <t>Growth equity: returns come from sales growth, manufacturing efficiency, and higher margins, with carbon as upside. Typical hold of 4-7 years, ending in a strategic or trade sale. Venture-to-growth risk and return; not a yield asset.</t>
  </si>
  <si>
    <t>Recurring revenue that compounds: returns grow as cohorts mature, repayment stabilizes, and churn falls. Expect a J-curve until cohorts break even at 12-36 months. Typical hold of 5-8 years, ending in acquisition by a platform or refinancing of the receivables book with commercial debt.</t>
  </si>
  <si>
    <t>Does the enterprise sell its cooking device outright, so that ownership passes to the buyer at the point of sale and the sale price is its main source of margin?
Answer Yes only if the business stays commercially viable without revenue after the sale (access fees, carbon credits, or agent sales).</t>
  </si>
  <si>
    <t>Does the enterprise own and operate shared energy infrastructure (mini-grid, solar hub, or multi-service energy center), with clean cooking as one of several energy services?</t>
  </si>
  <si>
    <t>Who fills this in: the investor and the enterprise together, or the enterprise on its own. Pick each answer from the dropdown.
How it works: Revenue carries double weight (one-third of the stage score), because the financing bands in Tool 02 are set by revenue. The other four questions test whether commercial traction, data quality, funding track record, and management depth support that revenue level. If revenue and the weighted score point to different stages, a note appears below the result. Use the more conservative (lower) stage for due diligence.
Revenue bands (the tool picks the right set from Part A):
•  Most archetypes: Early Stage &lt;US$500K  ·  Growth Stage US$500K-US$5M  ·  Scale &gt;US$5M
•  Infrastructure Utility: Early Stage &lt;US$1M  ·  Growth Stage US$1M-US$10M  ·  Scale &gt;US$10M</t>
  </si>
  <si>
    <t>If an investor asked tomorrow, what evidence could you show on the metrics your business depends on (repayment, unit margins, agent activity, uptime, or carbon issuance, whichever apply)?</t>
  </si>
  <si>
    <t>COMBINED SCREEN RESULT (used by Tools 01B, 02, and 03):</t>
  </si>
  <si>
    <t>Use this sheet after Tool 01A (Sheet 3). The questions and Green, Amber, and Red criteria for your archetype and stage load automatically. You don't need to select anything. Criteria for other archetypes and stages are on Sheet B.
Rate each question in the RATING column. The tally and decision update automatically.
To check a different archetype or stage, choose Manual override on Sheet A. This also updates Tools 02 and 03, so all three stay in line.
Decision rule: GO = no Red and no more than 1 Amber. HOLD &amp; STRUCTURE = 2 Amber, or a Red that is not on a gating question, with no more than 2 Amber or Red in total. NO-GO PENDING RESOLUTION = any gating question rated Red, or 3 or more Amber or Red in total.</t>
  </si>
  <si>
    <t>Most clean cooking enterprises need US$0.5M-US$5M, but DFI minimum tickets often start above that. Aggregation vehicles, co-investment with sector specialists, and lending through local banks or MFIs make smaller enterprises investable. Treat this as a structuring choice, not only a sourcing one.</t>
  </si>
  <si>
    <t>Final step: use this sheet after Tool 01B gives a decision and you have reviewed Tool 02. It builds feedback for the enterprise automatically. You don't need to select anything.
Layer 1 (Overall feedback): the headline message, what the rating means at this stage, priority actions, the capital pathway, and when to re-engage.
Layer 2 (Benchmark-linked diagnosis): for each question rated in Tool 01B, what the rating shows and what a Green rating would need at this stage.
To see feedback for another combination (for example, for a feedback letter), use the explorer on Sheet D. It does not change the live assessment.</t>
  </si>
  <si>
    <t>MASTER CONTROL: the only input on this sheet; it drives Tools 01B, 02, and 03 together</t>
  </si>
  <si>
    <t>PUBLISHED VALUES: Tools 01B, 02, and 03 read these cells; do not overwrite them</t>
  </si>
  <si>
    <t>📄 Evidence to request: audited financials and management accounts; revenue split between subsidized and commercial prices, by market; unit economics (bill of materials and landed cost compared with similar products, whether manufactured, assembled, or imported); field failure and warranty claim logs with reserve calculations; institutional procurement pipeline and contract end dates; carbon registry listing and issuance history (if any) and, for any carbon-linked revenue, host-country Article 6 authorization (Letter of Authorization) and corresponding-adjustment status; gender-disaggregated sales data.</t>
  </si>
  <si>
    <t>Sources: ICVCM Core Carbon Principles decision (March 7, 2025) for methodology tiers; Gold Standard, MSCI Carbon Markets, and Abatable (2025) for price bands. Paying-customer, warranty, and cost-parity thresholds are indicative (calibrated through key-informant interviews); see Sheet F.</t>
  </si>
  <si>
    <t>Key benchmarks for this archetype (Sheet F): paying-customer revenue share &gt;50% at Growth Stage and &gt;60% at Scale; field failure rate &lt;5% per product line; unit cost at or below comparable imports; carbon tested at US$5, 12, and 20+ per tCO2e against a ~US$4 spot average, on CCP-approved methodologies only (ICVCM, March 2025).</t>
  </si>
  <si>
    <t>Sources: ICRW's 2016 qualitative assessment of Solar Sister (Tanzania) found that respondents consistently saw female entrepreneurs as more effective sellers than their male peers. This is perception-based evidence, not a measured difference in sales. Thresholds for agent economics, activity, stock default, and concentration are indicative (calibrated through key-informant interviews); see Sheet F.</t>
  </si>
  <si>
    <t>📄 Evidence to request: registry project pages (Gold Standard or Verra project IDs) and methodology version; fNRB inputs and derivation (MoFuSS or default); monitoring reports and stove-use or metering data; issuance history vs. projected volumes by vintage; forward offtake contracts with floor-price and penalty clauses; buyer creditworthiness information; Article 6 LoA correspondence with the host government; independent rating reports (BeZero, Sylvera, or Calyx); a device-only P&amp;L under conservative carbon scenarios.</t>
  </si>
  <si>
    <t>📄 Evidence to request: anchor-customer PPAs or service contracts with escalation and termination clauses; tariff approvals and adjustment mechanism; bottom-up, gender-disaggregated demand surveys, and data from comparable sites; uptime (SAIDI/SAIFI) logs; O&amp;M reserve account statements and component replacement schedule; CAPEX build-up per kWp vs. the AMDA benchmark; debt term sheets and covenants; FX exposure schedule (currency of debt vs. currency of tariffs); eCooking pilot and adoption data showing retention over time (not just initial uptake); load-profile analysis of cooking demand against the generation profile and existing peak; and generation and storage headroom analysis confirming that cooking load can be served within capacity.</t>
  </si>
  <si>
    <t>Sources: AMDA, Benchmarking Africa's Mini-Grids (2020, 2022, and 2024 editions): average consumption ~6.1 kWh per user per month; CAPEX averaged ~US$6,824/kWp over 2020-24 (down ~20% from ~US$8,500 in 2020) vs. a ~US$3,000 global benchmark; cost per connection fell from ~US$1,555 to ~US$733; well-run sites report near-continuous uptime, better than national grids. AMDA finds no link between installed capacity and revenue per user, so treat models that assume revenue grows with capacity with caution. AMDA data covers mini-grid electricity; eCooking on mini-grids is proven in pilots, not portfolios, so adjust electricity benchmarks for the cooking layer rather than applying them directly.</t>
  </si>
  <si>
    <t>How the sheets connect:
• Tool 01B (Sheet 4): C4 reads C18, F4 reads C19, K4 reads C17, and K5 reads C20. Rows 19, 20, and 26 read the narrative library above.
• Tool 02 (Sheet 5): there is no selector. It builds the key C17&amp;"|"&amp;C19 and pulls the matching row from the Instrument Library on Sheet C.
• Tool 03 (Sheet 6): C6 reads C18, C7 reads C19, and D10 and F10 read C17 and C20. C31 reads the key benchmarks above. C11:C15 pull the matching profile from the Feedback Library on Sheet D.
• Sheets C and D shade the row that the live tools are showing.</t>
  </si>
  <si>
    <t>Failure rates &lt;5% by product line and by vintage, trending down; reserves calibrated to field returns, reviewed by the auditor, and enough to absorb a recall on the largest line.</t>
  </si>
  <si>
    <t>Team and skills: does the team have the manufacturing, supply-chain, and commercial skills this archetype demands?</t>
  </si>
  <si>
    <t>Governance and financial integrity: are accounts, cash runway, and ownership structure sound?</t>
  </si>
  <si>
    <t>Clean audit opinion from a recognized firm across ≥2 years; functioning board with independent directors and audit/risk oversight; group structure, transfer pricing, and subsidiary consolidation documented; impact and ESG reporting to investor standard.</t>
  </si>
  <si>
    <t>Gender-disaggregated sales, usage, and workforce data reported routinely; meets or is structured to meet 2X Challenge criteria, unlocking dedicated DFI pools; co-benefit documentation supports RBF and carbon premium claims.</t>
  </si>
  <si>
    <t>PAYGo, subscription, or prepaid: is this a receivables book with default risk, a subscription where a third party carries the credit risk, or a pure prepaid/metered model where the customer pays before use? Are the models cleanly separated?</t>
  </si>
  <si>
    <t>Team and skills: does the team combine technology, credit-risk, and customer-operations capability?</t>
  </si>
  <si>
    <t>Reaches women or uses some female-account design, but effects on access, repayment, and retention are not measured.</t>
  </si>
  <si>
    <t>No gender-disaggregated data on customers, repayment, or retention.</t>
  </si>
  <si>
    <t>Quality control: what mechanisms monitor agent behavior, point-of-sale product quality, and after-sales service?</t>
  </si>
  <si>
    <t>Training curriculum, agent code of conduct, and a complaint route exist before recruitment scales; quality expectations are contractual, not cultural.</t>
  </si>
  <si>
    <t>Offtake and buyer creditworthiness: are forward offtake agreements in place, with whom, at what floor price, and with what penalties?</t>
  </si>
  <si>
    <t>LoAs in hand in every market where compliance pricing is modeled, with transfer terms, corresponding-adjustment treatment, and any conditions documented and monitored for policy change.</t>
  </si>
  <si>
    <t>Team, skills, and operational capability: does the enterprise have the carbon, MRV, and offtake expertise its model needs, in-house or through a proven partner?</t>
  </si>
  <si>
    <t>In-house carbon, MRV, and origination functions running a multi-project portfolio, with commercial/treasury capability to manage forward sales and buyer credit; both revenue lines run by dedicated management.</t>
  </si>
  <si>
    <t>No uptime target, monitoring plan, or O&amp;M model: reliability will be discovered after the anchor contract is signed.</t>
  </si>
  <si>
    <t>Portfolio debt matched to revenue currency or fully hedged/guaranteed for the tenor, with residual exposure quantified, covenanted, and reported; no unhedged mismatch on senior obligations.</t>
  </si>
  <si>
    <t>Team and skills: does the team combine project development, engineering, O&amp;M, and project-finance capability?</t>
  </si>
  <si>
    <t>Development, engineering, and project-finance capability present or contracted (EPC/O&amp;M partner named), with at least one member having built and energized a comparable asset.</t>
  </si>
  <si>
    <t>Institutional capability across development, EPC management, O&amp;M, and project finance, with a portfolio built and operated to plan, treasury depth for long-tenor debt, and regulatory relationships in each market.</t>
  </si>
  <si>
    <t>Management accounts reliable; ≥6 months runway or a signed term sheet; clean cap table; land rights, permits, and SPV structure documented before capital is committed.</t>
  </si>
  <si>
    <t>Clean audit across ≥2 years with SPV-level and consolidated reporting; independent board with audit/risk oversight; covenant compliance, reserve funding, and impact reporting produced routinely to lender standard.</t>
  </si>
  <si>
    <t>Reference sheet, no input required. All 15 archetype and stage combinations are here: five archetypes × three maturity stages, each with its recommended instrument(s), indicative ticket size, why it fits, and the key de-risking requirement. Tool 02 (Sheet 5) reads the one row that matches the archetype and stage set on Sheet A, so it shows the recommendation for the enterprise being screened and nothing else. The live row is shaded amber below, so you can see where the enterprise sits on the map. Read across one archetype to see how its capital pathway should change as it matures; read down one stage to see how instrument choice differs by revenue model at a similar size. Edit the text in these cells and Tool 02 updates automatically. This is the only place the instrument content is held.</t>
  </si>
  <si>
    <t>Grant for feasibility, community engagement, and demand forecasting (gender-disaggregated, per Tool 01B Q3).</t>
  </si>
  <si>
    <t>Standard monitoring: paying-customer share, unit contribution, field-failure rate, and stock-credit aging quarterly. Re-run Tool 01B at Scale thresholds (Sheet B) before the next round to see what bankability will require.</t>
  </si>
  <si>
    <t>A GO at Early Stage means the archetype's key choices were made on purpose. The choice of PAYGo, subscription, or prepaid is explicit. Metering and data will produce PAYGo PERFORM-style cohort reports from the first customer. Payback is modeled bottom-up, and licensing was checked before launch.</t>
  </si>
  <si>
    <t>Stop deployment and define the model: choose PAYGo, subscription, or prepaid explicitly and locate the credit risk; retrofit tracking to the existing fleet before adding to it; take the licensing question to counsel; rebuild payback on observed local data, not PAYGo-solar defaults.</t>
  </si>
  <si>
    <t>The cohort evidence supports investment: repayment, retention, and payback are performing at benchmark or better.</t>
  </si>
  <si>
    <t>Go back to the agent P&amp;L: cost the commission, stock cycle, and effort honestly against what a person in the target geography must earn; identify who finances inventory before asking anyone to carry it; only then design recruitment.</t>
  </si>
  <si>
    <t>The network is real and productive: activity, margin, and stock finance all clear the bands that predict resilience.</t>
  </si>
  <si>
    <t>The network works, but one of its core elements (agent margin, activity, or stock finance) is in the Amber band.</t>
  </si>
  <si>
    <t>The network is an institutional asset: throughput is verified, distributed, financed, and governed at scale.</t>
  </si>
  <si>
    <t>The dual model is proven: verified issuance, contracted offtake, and device economics that survive spot pricing.</t>
  </si>
  <si>
    <t>The engine works but one exposure is unstructured: usually the buyer book, the price realization, or a legacy vintage.</t>
  </si>
  <si>
    <t>Re-engage after a completed verification cycle on a CCP methodology plus device economics evidenced at spot pricing; re-run the full section: Q2, Q3, Q6, and Q9 are the gates that were failed.</t>
  </si>
  <si>
    <t>Per Tool 02: blended finance plus green bonds (US$15M+) against audited issuance history and the forward book. Standing conditions: independent MRV verification across all projects, LoAs in hand, diversified offtake, and device-revenue covenants.</t>
  </si>
  <si>
    <t>The project is being developed like infrastructure, not like a venture: anchors, tariffs, and currency decided before concrete is poured.</t>
  </si>
  <si>
    <t>A NO-GO at Early Stage means no anchor is identified and the project rests on projected household cooking demand alone. Other signs: demand assumed from population counts or uptake rates not seen in similar projects, tariffs the regulator has not approved with no adjustment mechanism, or land, permits, or the SPV not yet resolved.</t>
  </si>
  <si>
    <t>The asset performs: realized consumption, uptime, and tariff economics support long-tenor debt against contracted revenue.</t>
  </si>
  <si>
    <t>The asset works, but one part of the infrastructure case (anchor coverage, reserves, tariff, or currency) is not yet firm enough for long-tenor debt.</t>
  </si>
  <si>
    <t>Re-engage on a signed anchor covering debt service plus a resolved tariff position; re-run the full section: Q1, Q2, and Q7 are the gates that failed.</t>
  </si>
  <si>
    <t>A bankable portfolio: contracted anchor customers, benchmark operating performance, and matched currencies across sites.</t>
  </si>
  <si>
    <t>Per Tool 02: infrastructure debt, commercial plus concessional (US$20M+); senior secured long-tenor against tariff revenue and anchor contracts, with the regulated framework, government guarantee on anchor payments, fully funded O&amp;M reserve, and the currency solution as the standing conditions.</t>
  </si>
  <si>
    <t>Basis: the feedback library and diagnosis are Intellecap guidance drawn from this toolkit's own parts: the stage criteria on Sheet B (whose Growth Stage bands match the Sourced and Indicative benchmarks on Sheet F: GOGLA PAYGo PERFORM v3, AMDA 2020-24, ICVCM March 2025, Gill-Wiehl et al. 2024, MSCI 2026, and Abatable 2025), the instrument rows on Sheet C (Tool 02), and the failure patterns and precedents on Sheet E (including KOKO January 2026, Envirofit/KliK/Spark+, Husk Tanzania, and the BURN green bond). It is INDICATIVE. Adapt each field to the enterprise's scores before sending. The library provides the structure, the right message for the stage, and the benchmark figures, not the final letter.</t>
  </si>
  <si>
    <t>Growing sales volumes, better manufacturing efficiency, and stronger gross margins, with carbon revenue as extra upside where it applies.</t>
  </si>
  <si>
    <t>Acquisition by an energy, mobility, or fintech platform, or refinancing of the receivables portfolio into commercial debt.</t>
  </si>
  <si>
    <t>A mix of product sales and recurring carbon revenue; performance depends on carbon prices, verification outcomes, and project scale.</t>
  </si>
  <si>
    <t>Long-term ownership, refinancing after operational stabilization, or sale to an infrastructure, utility, or yield-focused fund.</t>
  </si>
  <si>
    <t>No direct financial return by design; the measurable return is leverage.
Acumen's Accelerating Energy Access report (2018) shows that US$22.1M of patient capital in 20 early-stage off-grid energy companies (solar home systems, mini-grids, and clean cooking) attracted more than US$219.5M in follow-on investment, roughly 10x. Catalytic or patient capital can lose money in absolute terms: Acumen's own energy portfolio return is around -9%. So the return here is measured by leverage and crowding-in, not IRR.</t>
  </si>
  <si>
    <t>Over-dependence on carbon revenue: price falls, methodology changes, verification delays, or the lack of a Letter of Authorization cut expected income, and the device business cannot stand on its own.</t>
  </si>
  <si>
    <t>Infrastructure built ahead of demand: low utilization, too little tariff revenue, and not enough funding for long-term O&amp;M.</t>
  </si>
  <si>
    <t>The benchmark bands behind Tool 01B (Sheet 4) and the "Metrics that matter" row on Sheet 2. "Sourced" rows are based on published registry or sector data. "Indicative" rows are thresholds set for the enterprise's market through key-informant interviews (KII), for investment committee discussion. Score each metric, then apply the Tool 01B decision rule (GO, HOLD &amp; STRUCTURE, or NO-GO PENDING RESOLUTION).</t>
  </si>
  <si>
    <t>Upfront investment in plant, equipment, or infrastructure.</t>
  </si>
  <si>
    <t>Earnings Before Interest, Taxes, Depreciation, and Amortization</t>
  </si>
  <si>
    <t>Engineering, Procurement, and Construction</t>
  </si>
  <si>
    <t>Measurement, Reporting, and Verification</t>
  </si>
  <si>
    <t>Source of mini-grid consumption, CAPEX, and uptime benchmarks.</t>
  </si>
  <si>
    <t>Clean cooking enterprises are often treated as one investment category, but they include several distinct business models. Each captures value differently, carries different risks, and needs different capital. Judging them all by the same criteria leads investors to the wrong questions, benchmarks, and financing structures. This toolkit helps investors identify an enterprise's archetype and maturity stage, run due diligence specific to that archetype, choose financing that fits the revenue model and stage, and set realistic exit expectations. It also gives enterprises clear, stage-specific feedback on where they stand and what to fix to become investable. The result is investment decisions that are consistent, evidence-based, and defensible from first screen to exit.</t>
  </si>
  <si>
    <t>INTERACTIVE. This is the main input sheet. 
Part A: answer five Yes/No questions to identify the enterprise's primary archetype. 
Part B: answer five questions on maturity (revenue counts double) to place it at Early Stage, Growth Stage, or Scale. Every later step uses these two answers.</t>
  </si>
  <si>
    <t>Value creation and monitoring: Focus on the levers that matter for each archetype: cost management and warranty control for Product Sellers, churn reduction for Access Providers, agent management for Network Distributors, MRV integrity for the Carbon Integrated Model, and anchor contracts and O&amp;M reserves for Infrastructure Utilities.</t>
  </si>
  <si>
    <t>Decide which of the five archetypes fits the mandate, ticket size, and return profile, then focus origination on the channels where that archetype is found. Classify each candidate (potential enterprise) with the Quick-Screen before spending diligence resources.</t>
  </si>
  <si>
    <t>Co-invest with sector specialists (DFI co-investment desks and dedicated funds such as Spark+ Africa Fund, MCFA, ASCENT) and work through accelerators and challenge funds to reach pre-screened enterprises before building your own origination.</t>
  </si>
  <si>
    <t>An enterprise whose device sales and carbon revenue are directly linked: carbon revenue lowers the device price, and verified use of the device generates the carbon credits.
The test: the business runs as two linked parts, a device or consumer business and a carbon project development business. If carbon revenue were removed, the enterprise would be profitable but at a small scale.</t>
  </si>
  <si>
    <t>i. Households (price-sensitive; the purchase decision often sits with the male head of household, although women are the main users).
ii. Institutions (NGOs, ministries, UN agencies, hospitals, and schools buying through bulk tenders; more creditworthy, with lower CAC).</t>
  </si>
  <si>
    <t>i. Urban and peri-urban households paying by PAYGo or subscription through mobile money (the main segment), plus
ii. Small businesses (restaurants, vendors, and cafés with higher ARPU on the same infrastructure).</t>
  </si>
  <si>
    <t>i. Low- and middle-income rural and peri-urban households reached through trusted community agents (the main segment), plus ii. Small commercial customers served through the same network.</t>
  </si>
  <si>
    <t>i. Low-income households buying at carbon-subsidized prices (both paying customers and the source of carbon benefits), plus carbon buyers as the revenue counterparty: corporates with net-zero commitments, Article 6.2 compliance buyers, and DFIs with forward-purchase mandates. 
ii. Institutions such as schools, hospitals, and churches that pool their meal volumes or kitchens to join carbon programs. This lowers their cooking costs so they can feed more children in low-income communities.</t>
  </si>
  <si>
    <t>HIGH
There is a 6-18-month verification lag before the first carbon revenue. The business needs capital for manufacturing and distribution, and for carbon project development (MRV setup, registry registration). Forward purchase agreements are the natural way to pre-finance this.</t>
  </si>
  <si>
    <t>Hybrid: device margins plus contracted or spot carbon revenue. Returns are highly sensitive to the carbon price achieved, verification outcomes, and LoA status, so model US$5, 12, and 20+ scenarios. Typical hold of 5-8 years, ending in acquisition by an aggregator or developer, or refinancing against carbon receivables.</t>
  </si>
  <si>
    <t>Proven at scale in operations (Solar Sister's more than 10x growth in cookstove sales in 2020-24; Bidhaa Sasa's rural reach), but with the fewest institutional deal precedents of the five. Capital so far has been mostly concessional debt, RBF, and TA rather than priced equity rounds or exits.</t>
  </si>
  <si>
    <t>The least mature for cooking: eCooking on mini-grids is proven in pilots (CLASP/PowerGen Tanzania) but not yet across portfolios. Mini-grid finance itself has real precedents: CrossBoundary's financing of PowerGen's Nigeria portfolio, 174+ NERC mini-grid licenses issued in 2024, and InfraCredit local-currency guarantees.</t>
  </si>
  <si>
    <t>Owns and operates shared energy infrastructure, such as mini-grids, solar hubs, and multi-service energy centers, with clean cooking as one of several energy services.
The test: if the enterprise earns its revenue by selling energy from shared infrastructure it owns, and cooking is one service among several, it is an Infrastructure Utility.</t>
  </si>
  <si>
    <t>Two parts, one profile
Part A finds the archetype. Answer all five questions. The tool picks the first Yes. If more than one answer is Yes (for example, a stove seller that also earns carbon revenue), use the Hybrid models note below to choose the main archetype. To change the result, use Manual override on Sheet A.
Part B finds the stage: Early Stage, Growth Stage, or Scale.
Finish both parts before due diligence. Together they set the questions and the Green, Amber, and Red criteria in Tool 01B, and the financing options in Tool 02.</t>
  </si>
  <si>
    <t>Does the enterprise earn its revenue mainly from the margin on sales made through an independent agent, dealer, or franchisee network that owns the last-mile customer relationship, so that distribution, not manufacturing or device sales, is the core of the business?</t>
  </si>
  <si>
    <t>An archetype on its own is only half the picture. Whether the unit economics are sound depends on the stage: the right answer is different for a pre-revenue business, a growing one, and one at scale.
Judging an early business by Growth Stage standards gives a false NO-GO. Judging a large business by Early Stage standards gives a false GO.
Setting the stage here means Tool 01B checks for the evidence the enterprise should have at its stage, and Tool 02 recommends capital that fits. Leaving the stage to Tool 02 is how the wrong instruments get chosen.</t>
  </si>
  <si>
    <t>Next step: go to Tool 01B (Sheet 4) and rate the questions. You don't need to re-enter anything. Sheet A has already passed this archetype and stage to Tools 01B, 02, and 03.</t>
  </si>
  <si>
    <t>Most instruments are in hard currency, but revenue (device sales, tariffs, ARPU) is in local currency. Over 3-15 years, currency depreciation erodes the ability to repay debt. Use local-currency debt where possible, hedging facilities (e.g., TCX), or local-currency guarantees (e.g., InfraCredit for Nigerian off-grid infrastructure).</t>
  </si>
  <si>
    <t>Growth Stage enterprises are often too indebted for more debt and too small for a priced equity round. Mezzanine and quasi-equity (revenue-share notes, convertibles) fill this gap. Specialist funds such as Spark+ Africa Fund offer both debt and mezzanine (US$0.5M-US$7M). If the matrix says "equity" and a priced round is not realistic, read it as "equity or mezzanine".</t>
  </si>
  <si>
    <t>Reference and control sheet. It has one input: the Mode cell below. It takes the Tool 01A results and sets the archetype and maturity stage used by the rest of the toolkit. Tool 01B (Sheet 4) uses them to load the right questions and Green, Amber, and Red criteria. Tool 02 (Sheet 5) uses them to load the capital recommendation. Tool 03 (Sheet 6) uses them to load the feedback profile and benchmarks. Information is entered once, and any change on Sheet 3 updates every downstream tool. To review a combination the screen did not produce, select Manual override in the Mode cell; the whole toolkit changes together. To browse other combinations without changing the live results, use Sheet C (instruments) and the explorer on Sheet D (feedback).</t>
  </si>
  <si>
    <t>📄 Evidence to request: full agent list with 30- and 90-day transaction activity; net margin per active agent by cohort and area; stock-credit ledger with default aging; sales concentration (top 10% and 20% of agents); agent turnover and satisfaction surveys; training and quality-control records; a demo of the digital ordering and agent-tracking system; and agent productivity data by gender. Where carbon-linked pricing applies, ask who earns the carbon revenue (the distributor or the upstream manufacturer), the methodology used, and the prices achieved. If the distributor claims credits itself, ask for its host-country Article 6 status (Letter of Authorization).</t>
  </si>
  <si>
    <t>Sources: ICVCM Core Carbon Principles decision (March 7, 2025). The CCP label went to GS Metered &amp; Measured v1-1.2, GS-TPDDTEC v4.0, and Verra VM0050 v1.0. Two conditions apply: fNRB must come from MoFuSS (or the CDM 0.3 default, valid until December 31, 2025), which is typically below 0.5 against a pre-reform market average of ~0.86; and usage must be robustly monitored. GS Simplified, GS energy-efficiency v1-13.1, CDM AMS-II.G, and CDM AMS-I.E were rejected. Over-crediting: Gill-Wiehl, Kammen, and Haya (Nature Sustainability, 2024) found that sampled cookstove projects over-credited by ~9.2x on average (rejected legacy methods were higher) and the metered methodology by ~1.5x. Pricing (2026; refresh regularly): MSCI Carbon Markets reports CORSIA-eligible cookstove credits above US$14/tCO2e, against a clean cooking sector average of ~US$4. Abatable puts the economic floor at ~US$15, rising to US$39+ for metered, clean-fuel projects. Model carbon at US$5, 12, and 20+, with haircuts for verification delays, methodology revisions, and vintage discounts.</t>
  </si>
  <si>
    <t>Revolving working-capital debt + growth equity (or mezzanine)</t>
  </si>
  <si>
    <t>Commercial debt (including trade finance, local bonds) + blended finance</t>
  </si>
  <si>
    <t>Venture equity + catalytic grant / TA</t>
  </si>
  <si>
    <t>Catalytic grant + equity</t>
  </si>
  <si>
    <t>Blended finance + green bonds</t>
  </si>
  <si>
    <t>Stock-credit default monitored (&lt;5% Green band); RBF per verified sale; agent activity data (30/90-day) auditable from the digital platform.</t>
  </si>
  <si>
    <t>Structured working-capital or receivables facility against proven, digitally verified network throughput; DFI or blended senior debt once agent cohorts and throughput are stable.</t>
  </si>
  <si>
    <t>Standard banking covenants; forward purchase agreements; recurring revenue proven; churn stabilized; repayment covenants set against PAYGo PERFORM benchmarks (sector average 72% at 2x term; leaders ≥90%).</t>
  </si>
  <si>
    <t>Reading the key: the Key column combines the archetype code and maturity stage (e.g., 04|Growth Stage) and is what Tool 02 matches on. Codes follow the archetype reference table on Sheet A. The revenue bands here are the bands Tool 01A Part B uses to set the stage. Archetype 05 has different bands (&lt;US$1M, US$1M-US$10M, &gt;US$10M) because infrastructure revenue grows with installed capacity rather than unit sales.</t>
  </si>
  <si>
    <t>Output-linked milestones; independent verification of pilot unit economics before the next tranche.</t>
  </si>
  <si>
    <t>Revolving credit for inventory; trade finance for cross-border supply chains; local capital-market issuance is proven at this stage (BURN's US$10M Kenya green bond, October 2023, was 100% oversubscribed and was sub-Saharan Africa's first clean cooking green bond).</t>
  </si>
  <si>
    <t>Reference sheet, no input required. Tool 01B (Sheet 4) reads this library. The questions are the same at every stage, but the Green, Amber, and Red thresholds and the gating flags change with stage. Tool 01B uses the set that matches the stage from Tool 01A Part B. All three versions of each question are shown here so an investment committee can compare them side by side, and thresholds can be edited in one place.
WHAT EACH STAGE ASKS. Early Stage: can this model work? Evidence is a pilot, a bottom-up cost build, and a costed plan; design choices that are hard to change later (metering, methodology, who holds credit risk, gender data) are tested now. Growth Stage: is it working, and can it be financed? Evidence is at least 12 months of operating and cohort data, measured against the benchmark bands on Sheet F. Scale: will it last, and can it be financed on commercial terms? Evidence is audited, multi-market, and portfolio-wide, and the benchmark must hold across markets and vintages, not only at home.
GATING (✔) also changes with stage. A question is gating only where the enterprise should already be able to answer it. Verification track record is not gating for an unregistered Early Stage carbon project, but it is at Growth Stage and Scale. Realized unit economics are not gating for a pre-revenue Product Seller, but they are once revenue exists. The carbon-as-surplus and anchor-offtake tests are gating from Growth Stage onward, when the exposure becomes financeable.
BASIS. Growth Stage bands are the bands published on Sheet F (marked Sourced or Indicative there). Early Stage and Scale bands are Intellecap extensions of those bands, calibrated through key-informant interviews and deal experience. They are INDICATIVE, for investment committee discussion, not audited thresholds. Sourced benchmarks (GOGLA PAYGo PERFORM, AMDA, ICVCM, Gill-Wiehl et al., MSCI, and Abatable) are named in the cells that use them and match Sheet F.</t>
  </si>
  <si>
    <t>Carbon is essential to viability at scale: debt or covenants sized against carbon revenue that is uncontracted, unrated, or on a legacy methodology (the KOKO failure pattern).</t>
  </si>
  <si>
    <t>No gender-disaggregated reporting at a scale where RBF, 2X capital, and co-benefit premiums are all being forgone.</t>
  </si>
  <si>
    <t>Streams separated in audited accounts with receivables recognized, aged, and provisioned to a stated policy; lenders can see exactly which cash flows they are underwriting.</t>
  </si>
  <si>
    <t>Repayment Rate ≥~90% of contract value at 2x contract term (top-performer range), with cohort-level tracking including Repayment Rate at 90 days, PAR-30, and Customer Ownership Rate at or above the ~78% sector average.</t>
  </si>
  <si>
    <t>Licensed in every market of operation with a compliance function, regulator relationships, and data-protection/credit-reporting obligations met; new-market entry gated on licensing.</t>
  </si>
  <si>
    <t>Business only works with carbon revenue included: carbon is essential, not a surplus. (Carbon is the revenue.)</t>
  </si>
  <si>
    <t>Models cleanly separated; credit risk clearly located and owned (on balance sheet or with an MFI partner).</t>
  </si>
  <si>
    <t>Warranty exposure: what are failure rates by product line, what % of topline is exposed to claims, and are reserves provisioned against field-return data?</t>
  </si>
  <si>
    <t>Cost-per-unit structurally above imports with no credible path to parity through scale, design, or local sourcing.</t>
  </si>
  <si>
    <t>Digital monitoring with incentives and enforcement applied consistently across geographies; mis-selling and after-sales complaint rates tracked, trended, and acted on; audit trail enough for RBF verification.</t>
  </si>
  <si>
    <t>Regional field-operations management with territory structure, logistics depth, and data capability to run thousands of agents; demonstrated ability to open a new geography to plan.</t>
  </si>
  <si>
    <t>Financial model separates device and carbon lines from the outset with independent pricing, timing, and risk assumptions, including the 6-18-month verification lag before first credit revenue.</t>
  </si>
  <si>
    <t>Device and carbon revenues modeled independently with separate assumptions for pricing, timing, and risk.</t>
  </si>
  <si>
    <t>Project registered (or registration submitted) with a validated PDD, a named VVB, and a dated first-verification plan; no revenue recognized before first issuance.</t>
  </si>
  <si>
    <t>Carbon revenue in the plan with no registration, no VVB, and no verification timeline: the revenue has no route to existence.</t>
  </si>
  <si>
    <t>Diversified book of creditworthy contracted buyers with floor prices, penalties, and delivery terms understood; no single buyer dominant; forward coverage sized so that a buyer default does not breach debt service.</t>
  </si>
  <si>
    <t>Independently rated at a high band (BeZero, Sylvera, or Calyx); realized price above ~US$8-10/tCO2e, or CORSIA-eligible / co-benefit premium toward US$14-39 (CORSIA-eligible credits traded above US$14 in 2026: MSCI; Abatable puts the high-integrity floor at US$15-39; EcoSafi secured ~US$35). (Pricing as of 2026; refresh regularly.)</t>
  </si>
  <si>
    <t>Compliance pricing shown as clearly labeled upside with an LoA application not yet filed.</t>
  </si>
  <si>
    <t>Female agent share, productivity, and retention reported by geography and used in recruitment strategy; 2X-qualifying; gender-intentional design evidenced in sales outcomes (see the Shell Foundation Gender RBF pilot).</t>
  </si>
  <si>
    <t>CCP-approved methodology intended but the fNRB and monitoring design are not yet specified, or a conditionally approved methodology (GS-TPDDTEC v4.0, VM0050 v1.0) chosen without addressing the conditions.</t>
  </si>
  <si>
    <t>Carbon/MRV capability secured before registration, in-house or through a named advisor with registered projects, together with the device and distribution capability to run both lines.</t>
  </si>
  <si>
    <t>Strong in-house carbon/MRV capability (methodology, monitoring, and offtake), alongside device and distribution capability; each revenue line has a dedicated lead.</t>
  </si>
  <si>
    <t>Carbon/MRV capability partial, adding some complexity or relying on a single advisor; or methodology and offtake skills in place but the distribution pipeline thin or dependent on partners.</t>
  </si>
  <si>
    <t>Demand built bottom-up from gender-disaggregated local surveys and comparable sites, with conservative eCooking adoption assumptions that reflect pilot evidence of honeymoon-phase decay and stove stacking.</t>
  </si>
  <si>
    <t>Demand assumed rather than modeled, or relies on uptake rates not seen in comparable projects (pilots show honeymoon-phase decay and stove stacking, so early or headline uptake overstates sustained load).</t>
  </si>
  <si>
    <t>Funded reserve covers replacement of batteries, inverters, and distribution equipment across the asset life.</t>
  </si>
  <si>
    <t>Hard-currency debt planned against local-currency tariffs with no hedge, indexation, or guarantee contemplated.</t>
  </si>
  <si>
    <t>Hard-currency debt against local-currency tariffs with no hedge, indexation, or guarantee: FX depreciation directly erodes debt service over the 7-15-year horizon.</t>
  </si>
  <si>
    <t>Anchor exists, but a meaningful share of income still depends on uncertain household PAYGo cooking demand.</t>
  </si>
  <si>
    <t>Uptime high (≥95%) and tracked as a core operating metric (well-run African mini-grids report near-continuous uptime, more reliable than national grids; AMDA).</t>
  </si>
  <si>
    <t>Source note: Growth Stage thresholds reproduce the benchmark bands on Sheet F (Benchmarks), where each band is marked Sourced (GOGLA PAYGo PERFORM v3 2026; AMDA Benchmarking Africa's Mini-grids 2020-2024; ICVCM Core Carbon Principles decision, March 7, 2025; Gill-Wiehl et al. 2024; MSCI Carbon Markets 2026; Abatable 2025) or Indicative (key-informant calibrated). Early Stage and Scale thresholds are Indicative throughout: they are Intellecap's stage-calibrated extensions of the same bands, prepared for this toolkit and not drawn from a published dataset. Refresh carbon pricing and PAYGo benchmarks regularly.</t>
  </si>
  <si>
    <t>Signed anchor MOU or letter of intent with a creditworthy institution (school, clinic, government, UNHCR/WFP) covering a material share of projected load. Heads of terms on tariff and contract length are agreed before construction capital is sought.</t>
  </si>
  <si>
    <t>Forecasting method validated against the company's own realized adoption curves across sites, including sustained (not headline) cooking load; generation-sizing tested against the cooking layer so eCooking load does not exhaust spare capacity unbudgeted.</t>
  </si>
  <si>
    <t>ENTERPRISE FEEDBACK LIBRARY: ALL ARCHETYPES, STAGES, AND RATINGS</t>
  </si>
  <si>
    <t>Reference sheet, no input required for the live tool. All 45 feedback profiles are here: five archetypes × three stages × three ratings (GO, HOLD &amp; STRUCTURE, or NO-GO PENDING RESOLUTION). Each has a headline message, what the rating means at that stage, priority actions, what it means for the capital pathway, and when to re-engage. Tool 03 (Sheet 6) reads the one row that matches the screened enterprise and its Tool 01B decision; that row is shaded amber. The explorer just below lets you view any combination without changing the live screen, which helps when drafting a feedback letter or answering "what would a GO have needed at our stage?". Read down one archetype to see how the same rating means different things as an enterprise matures; read across the three ratings at one stage to see what separates a GO from a HOLD. Edit the text in these cells and both Sheet 6 and the explorer update automatically.</t>
  </si>
  <si>
    <t>A HOLD at Early Stage usually reflects Amber ratings on costing, the commercial pilot, or team gaps. The concept is sound, but the evidence is thinner than the ask. No gating question is Red; the risk is proceeding on assumptions when a cheap test exists.</t>
  </si>
  <si>
    <t>Re-screen from Tool 01A once the gating issue is resolved and evidenced; if the same Red persists after a genuine redesign attempt, the finding is that the model does not work in this market.</t>
  </si>
  <si>
    <t>A HOLD at Growth Stage usually centers on Q1, Q2, or Q4: paying revenue in the 20-50% band, positive contribution only at a volume not yet reached, or cost parity that depends on scale. The business works. The question is whether capital or time will close the gap.</t>
  </si>
  <si>
    <t>Re-score the Amber questions at the next audited or reviewed period, typically 6-12 months. Two consecutive periods of paying-revenue growth convert this HOLD to a GO.</t>
  </si>
  <si>
    <t>Structure around the Amber ratings: milestone-tranched equity, working-capital debt sized to current (not projected) volume, and RBF against verified commercial unit sales to bridge the subsidy transition. A first-loss layer is appropriate; full commercial terms are not yet.</t>
  </si>
  <si>
    <t>Protect the data discipline as you deploy: keep the active-customer definition stable so cohorts stay comparable; test the payment design built around women's control in the first cohort; hold the line on deposit policy, since GOGLA data shows deposits above 10% predict better repayment.</t>
  </si>
  <si>
    <t>Re-screen from Tool 01A once the model is defined, tracking is live, and the licensing position is documented: expect to re-enter at Early Stage with a cleaner GO/HOLD read.</t>
  </si>
  <si>
    <t>Per Tool 02: TA grant (US$100K-US$1M) for recruitment, training, and the digital agent-tracking platform (itself the precondition for all later debt), output-linked to verified agent activations against a proven agent baseline.</t>
  </si>
  <si>
    <t>Work the book, not the narrative: identify and fix the worst cohort's attrition driver and evidence the intervention moving the number; tighten deposit and contract design toward the GOGLA-correlated settings; separate the streams in routine reporting, not on request; stress ARPU against churn honestly.</t>
  </si>
  <si>
    <t>Re-score on two quarters of improvement in the specific Amber metric, evidenced from the platform, typically 6-9 months.</t>
  </si>
  <si>
    <t>Structure by geography: commercial terms against the proven core network, guarantee-supported facilities for expansion markets, covenants set per geography so one market's health cannot hide another's.</t>
  </si>
  <si>
    <t>Per Tool 02: catalytic grant plus equity (US$100K-US$2M); grant for MRV setup and registry registration, equity for project development, with CCP eligibility of the methodology and partnership agreements as conditions precedent.</t>
  </si>
  <si>
    <t>Cycle-by-cycle issuance and price-realization reporting to lender standard; annual re-screen; exit on the 5-8-year horizon to an aggregator or developer, or through refinancing against carbon receivables.</t>
  </si>
  <si>
    <t>Portfolio-scale carbon dependence without floors, LoAs, or clean methodologies is an insolvency in waiting: the January 2026 precedent is exact.</t>
  </si>
  <si>
    <t>Re-engagement follows a restructured balance sheet, a verified post-migration issuance cycle, and audited device-business viability at spot, then a full re-screen from Tool 01A.</t>
  </si>
  <si>
    <t>Per Tool 02: development grant plus TA (US$500K-US$5M) for feasibility, community engagement, and demand forecasting, with the government/institutional anchor MOU and DFI technical assistance as the de-risking conditions.</t>
  </si>
  <si>
    <t>Close the development gaps in order of irreversibility: get the tariff pathway confirmed in writing; sign the anchor before sizing generation; re-run demand gender-disaggregated and conservative (honeymoon decay and stove stacking are the norm, not the exception); obtain real EPC quotes; price the hedge into the model.</t>
  </si>
  <si>
    <t>The portfolio is strong at the core but the newest sites, a legacy tranche, or the reserve schedule would not survive lender scrutiny yet.</t>
  </si>
  <si>
    <t>Bring the tail to the core standard: renegotiate or supplement new-site anchors before they enter the borrowing base; report and fix uptime site by site rather than in aggregate; execute the reserve catch-up on a covenant-grade schedule; refinance or hedge the legacy tranche.</t>
  </si>
  <si>
    <t>Restructure around contracted cash flows: bring lenders in early and re-size debt to anchor revenue; decide site by site whether to invest, hold, or exit, based on realized rather than forecast demand; fund the replacement costs before they fall due; treat resolving the tariff as critical, because it affects the whole 15-20-year asset life.</t>
  </si>
  <si>
    <t>Re-engagement follows a restructured facility with DSCR covered by contracted revenue, funded reserves, and a resolved tariff base, then a full re-screen; individual sites may re-enter the pipeline at Growth.</t>
  </si>
  <si>
    <t>Value creation depends on reaching manufacturing scale, staying cost-competitive, and achieving broad market reach. Carbon can support scale but is not the base case.</t>
  </si>
  <si>
    <t>Recurring customer payments as repayment performance improves, cohorts mature, and churn stabilizes.</t>
  </si>
  <si>
    <t>Acquisition by a larger clean cooking enterprise, a carbon developer, or a project aggregator, or refinancing against contracted carbon receivables.</t>
  </si>
  <si>
    <t>Pricing has cleared at local capital-market terms.
BURN's US$10M green bond (Kenya, October 2023), sub-Saharan Africa's first clean cooking green bond, was 100% oversubscribed, with 80% subscribed before the public announcement (FSD Africa). This shows institutional appetite for fixed income at prevailing Kenyan corporate bond yields.
Specialist debt funds (Spark+ Africa Fund, backed by DFIs, pension funds, and foundations) deploy senior debt and mezzanine of US$0.5M-US$7M at commercial or near-commercial pricing.</t>
  </si>
  <si>
    <t>GOGLA's PAYGo PERFORM Monitor shows that only a handful of firms (at country level) are profitable, with positive EBT and healthy cash flow, while the median firm still makes a loss. Equity returns in these archetypes therefore come from exit multiples and growth, not dividends.
Exits are happening (KopaGas to Circle Gas; PAYGo Energy to Sun King), but terms are undisclosed, so no verifiable realized IRR exists. Fund-level signal: KawiSafi I (US$67M, 2016, off-grid solar) performed well enough to raise KawiSafi II (US$90M approved, 2025). This is a market signal, not a disclosed return.</t>
  </si>
  <si>
    <t>Returns depend on price, and the price spread is well documented. The clean cooking spot average is ~US$4/tCO2e, while CORSIA-eligible credits traded above US$14 in 2026 (MSCI Carbon Markets). Abatable's 2025 cost analysis puts the economic floor for high-quality projects at US$15, rising to US$39+ for metered, clean-fuel projects. EcoSafi's rated, metered project contracted at ~US$35, about 10x the sector average at the time. The quality premium is the return case.</t>
  </si>
  <si>
    <t>Model at US$5, 12, and 20+ with haircuts; assume upside to US$14-39 only with a CCP methodology, a rating, and an LoA or CORSIA eligibility. SOURCED (MSCI 2026; Abatable 2025; project disclosures). Prices are as of 2026; refresh them regularly, as cookstove carbon prices move with methodology rules and CORSIA and Article 6 demand.</t>
  </si>
  <si>
    <t>KOKO Networks ran one of Africa's largest clean cooking businesses, supplying bioethanol fuel and smart cookstoves to ~1.5 million Kenyan households through ~3,000 automated refill points. It sold fuel and stoves at deep discounts and covered the gap by selling carbon credits into high-value compliance markets, having raised more than US$100M in carbon finance between 2020 and 2023. The model broke down when the Kenyan government declined to issue the Letter of Authorization needed to export those credits under Article 6. With its only subsidy mechanism cut off, the company stopped operating in Kenya at the end of January 2026, laid off ~700 staff, and filed for insolvency (PwC appointed as administrators in February 2026).
Lesson: never treat compliance-market revenue as secured until the host-country authorization behind it is in hand. An enterprise whose unit economics depend on that revenue has a single point of failure that good operations cannot offset.</t>
  </si>
  <si>
    <t>BENCHMARKS BY ARCHETYPE: GREEN, AMBER, AND RED BANDS</t>
  </si>
  <si>
    <t>Sourced: ICVCM (March 7, 2025); Gill-Wiehl et al. (2024)</t>
  </si>
  <si>
    <t>&gt;US$8-10, or a CORSIA-eligible or co-benefit premium toward US$14-39 (CORSIA-eligible credits traded &gt;US$14 in 2026; Abatable high-integrity floor US$15-39; EcoSafi ~US$35)</t>
  </si>
  <si>
    <t>&lt;US$4, or compliance pricing modeled with no LoA/rating</t>
  </si>
  <si>
    <t>72-90% (dataset average 72%)</t>
  </si>
  <si>
    <t>Deposit / contract design (repayment driver)</t>
  </si>
  <si>
    <t>Global Off-Grid Lighting Association</t>
  </si>
  <si>
    <t>Modeling Fuelwood Sustainability Scenarios</t>
  </si>
  <si>
    <t>Technologies and Practices to Displace Decentralized Thermal Energy Consumption</t>
  </si>
  <si>
    <t>Verra's clean cooking methodology (v1.0 conditionally CCP-approved).</t>
  </si>
  <si>
    <t>Carbon-crediting standard; its Metered &amp; Measured methodology is the highest-integrity option for cooking.</t>
  </si>
  <si>
    <t>MoFuSS-derived and &lt;0.5 (the CCP condition)</t>
  </si>
  <si>
    <t>Realized price (US$/tCO2e)</t>
  </si>
  <si>
    <t>Grant/TA is the right instrument for exactly these gaps; tranche any equity against the data system going live and the credit function being staffed. Delay device-fleet CAPEX until the pilot cohort's early repayment reads out.</t>
  </si>
  <si>
    <t>Protect the contracted base as cooking load grows: keep eCooking adoption as upside in debt sizing even as it materializes; watch generation headroom: cooking load that exhausts spare capacity forces unbudgeted CAPEX; feed realized adoption curves back into every new-site forecast.</t>
  </si>
  <si>
    <t>Per Tool 02: blended finance (US$5M-US$20M); concessional long-tenor DFI debt with DFI co-investment, the anchor offtake contract, and demand independently validated against AMDA benchmarks as the de-risking conditions. Ring-fence cooking CAPEX into a separate appliance-financing facility funded by RBF on verified sustained use.</t>
  </si>
  <si>
    <t>Reset the revenue base: contract anchor demand before any further CAPEX; recalibrate demand to the site's own realized curves; escalate the tariff question to resolution: a structurally loss-making tariff compounds for 15-20 years and is grounds to exit the site, as the Husk Tanzania precedent shows.</t>
  </si>
  <si>
    <t>Version 3.0</t>
  </si>
  <si>
    <t>Released September 2026</t>
  </si>
  <si>
    <t>The core question of this toolkit: how does this business mainly capture value, and from whom?</t>
  </si>
  <si>
    <t>READ ONLY. Get oriented: compare how each of the five archetypes captures value, and its revenue model, capital intensity, role of carbon, key risks, and best-suited capital.</t>
  </si>
  <si>
    <t>INTERACTIVE. The due diligence questions for the identified archetype load automatically, with the Green, Amber, and Red criteria and gating flags for the screened stage. You only need to rate each question; the tally and the decision (GO, HOLD &amp; STRUCTURE, or NO-GO PENDING RESOLUTION) update as you go.</t>
  </si>
  <si>
    <t>AUTOMATIC. Use after Tool 01B gives GO or HOLD &amp; STRUCTURE. Shows the recommended instrument(s), typical ticket size, why the instrument fits, and the key de-risking requirement for the screened archetype and stage. It also lists the structuring considerations that apply to every deal before closing.</t>
  </si>
  <si>
    <t>AUTOMATIC. Gives feedback to the enterprise in two layers: (1) overall feedback for the screened archetype, stage, and Tool 01B decision, covering the headline message, what the rating means, priority actions, capital pathway, and when to re-engage; (2) a question-by-question diagnosis, linked to benchmarks, based on the ratings given in Tool 01B.</t>
  </si>
  <si>
    <t>READ ONLY. Match return expectations and exit routes to the archetype, and check the deal against the most common failure patterns for that archetype and the earliest signs of them in diligence.</t>
  </si>
  <si>
    <t>These sheets run the automation and sit behind the six steps so the workflow reads from front to back. Sheet A is the control sheet. It reads the Tool 01A result once and passes the archetype and maturity stage to Tools 01B, 02, and 03, so nothing is entered twice. Sheet A is also where you switch to Manual override to test a different archetype or stage; all three tools change together. Sheet B holds the criteria for all five archetypes at all three stages. Sheet C holds the capital instruments for all 15 archetype and stage combinations. Sheet D holds all 45 feedback profiles and an explorer for browsing any combination. Sheet F holds the Green, Amber, and Red benchmark bands behind the Growth Stage thresholds in Tool 01B, each marked Sourced or Indicative. On Sheets C and D, the row the live tools are showing is highlighted.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</si>
</sst>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11"/>
      <color theme="1"/>
      <name val="Calibri"/>
      <family val="2"/>
      <charset val="1"/>
    </font>
    <font>
      <sz val="8"/>
      <color rgb="FFBFBFBF"/>
      <name val="Calibri"/>
      <charset val="1"/>
    </font>
    <font>
      <b/>
      <sz val="14"/>
      <color rgb="FFFFFFFF"/>
      <name val="Avenir Next LT Pro"/>
      <family val="2"/>
    </font>
    <font>
      <sz val="11"/>
      <color theme="1"/>
      <name val="Avenir Next LT Pro"/>
      <family val="2"/>
    </font>
    <font>
      <sz val="10"/>
      <name val="Avenir Next LT Pro"/>
      <family val="2"/>
    </font>
    <font>
      <b/>
      <sz val="36"/>
      <color rgb="FF7030A0"/>
      <name val="Avenir Next LT Pro"/>
      <family val="2"/>
    </font>
    <font>
      <b/>
      <sz val="14"/>
      <color rgb="FFC7335E"/>
      <name val="Avenir Next LT Pro"/>
      <family val="2"/>
    </font>
    <font>
      <i/>
      <sz val="11"/>
      <color rgb="FF424242"/>
      <name val="Avenir Next LT Pro"/>
      <family val="2"/>
    </font>
    <font>
      <b/>
      <sz val="12"/>
      <color rgb="FF424242"/>
      <name val="Avenir Next LT Pro"/>
      <family val="2"/>
    </font>
    <font>
      <b/>
      <sz val="11"/>
      <color rgb="FF1F3864"/>
      <name val="Avenir Next LT Pro"/>
      <family val="2"/>
    </font>
    <font>
      <sz val="10"/>
      <color theme="1"/>
      <name val="Avenir Next LT Pro"/>
      <family val="2"/>
    </font>
    <font>
      <b/>
      <sz val="10"/>
      <color rgb="FFFFFFFF"/>
      <name val="Avenir Next LT Pro"/>
      <family val="2"/>
    </font>
    <font>
      <b/>
      <sz val="10"/>
      <name val="Avenir Next LT Pro"/>
      <family val="2"/>
    </font>
    <font>
      <i/>
      <sz val="9"/>
      <color rgb="FF595959"/>
      <name val="Avenir Next LT Pro"/>
      <family val="2"/>
    </font>
    <font>
      <b/>
      <sz val="14"/>
      <color rgb="FFFFFFFF"/>
      <name val="Avenir Next LT Pro Demi"/>
      <family val="2"/>
    </font>
    <font>
      <b/>
      <sz val="11"/>
      <color rgb="FF1F3864"/>
      <name val="Avenir Next LT Pro Demi"/>
      <family val="2"/>
    </font>
    <font>
      <i/>
      <sz val="10"/>
      <color rgb="FF595959"/>
      <name val="Avenir Next LT Pro"/>
      <family val="2"/>
    </font>
    <font>
      <b/>
      <sz val="10"/>
      <color theme="1"/>
      <name val="Avenir Next LT Pro"/>
      <family val="2"/>
    </font>
    <font>
      <b/>
      <sz val="10"/>
      <color rgb="FFFFFFFF"/>
      <name val="Avenir Next LT Pro Demi"/>
      <family val="2"/>
    </font>
    <font>
      <i/>
      <sz val="10"/>
      <color theme="1"/>
      <name val="Avenir Next LT Pro"/>
      <family val="2"/>
    </font>
    <font>
      <sz val="10"/>
      <color rgb="FF0000FF"/>
      <name val="Avenir Next LT Pro"/>
      <family val="2"/>
    </font>
    <font>
      <b/>
      <sz val="11"/>
      <color rgb="FFFFFFFF"/>
      <name val="Avenir Next LT Pro"/>
      <family val="2"/>
    </font>
    <font>
      <b/>
      <sz val="10"/>
      <color rgb="FF0000FF"/>
      <name val="Avenir Next LT Pro"/>
      <family val="2"/>
    </font>
    <font>
      <i/>
      <sz val="10"/>
      <name val="Avenir Next LT Pro"/>
      <family val="2"/>
    </font>
    <font>
      <b/>
      <sz val="12"/>
      <color rgb="FF1F3864"/>
      <name val="Avenir Next LT Pro"/>
      <family val="2"/>
    </font>
    <font>
      <b/>
      <sz val="12"/>
      <color rgb="FFFFFFFF"/>
      <name val="Avenir Next LT Pro"/>
      <family val="2"/>
    </font>
    <font>
      <i/>
      <sz val="9"/>
      <color rgb="FF9C0006"/>
      <name val="Avenir Next LT Pro"/>
      <family val="2"/>
    </font>
    <font>
      <sz val="11"/>
      <name val="Avenir Next LT Pro"/>
      <family val="2"/>
    </font>
    <font>
      <b/>
      <sz val="9"/>
      <name val="Avenir Next LT Pro"/>
      <family val="2"/>
    </font>
    <font>
      <b/>
      <sz val="10"/>
      <color rgb="FF1F3864"/>
      <name val="Avenir Next LT Pro"/>
      <family val="2"/>
    </font>
    <font>
      <sz val="9"/>
      <color rgb="FF808080"/>
      <name val="Avenir Next LT Pro"/>
      <family val="2"/>
    </font>
    <font>
      <sz val="9"/>
      <color rgb="FF595959"/>
      <name val="Avenir Next LT Pro"/>
      <family val="2"/>
    </font>
    <font>
      <b/>
      <sz val="9"/>
      <color rgb="FF808080"/>
      <name val="Avenir Next LT Pro"/>
      <family val="2"/>
    </font>
    <font>
      <sz val="9"/>
      <color rgb="FF9C0006"/>
      <name val="Avenir Next LT Pro"/>
      <family val="2"/>
    </font>
    <font>
      <b/>
      <sz val="10"/>
      <color rgb="FF2E7D6B"/>
      <name val="Avenir Next LT Pro"/>
      <family val="2"/>
    </font>
    <font>
      <sz val="9"/>
      <name val="Avenir Next LT Pro"/>
      <family val="2"/>
    </font>
    <font>
      <b/>
      <sz val="9"/>
      <color rgb="FF9C0006"/>
      <name val="Avenir Next LT Pro"/>
      <family val="2"/>
    </font>
    <font>
      <b/>
      <sz val="10"/>
      <color rgb="FF008000"/>
      <name val="Avenir Next LT Pro"/>
      <family val="2"/>
    </font>
    <font>
      <b/>
      <sz val="9"/>
      <color rgb="FF1F3864"/>
      <name val="Avenir Next LT Pro"/>
      <family val="2"/>
    </font>
    <font>
      <sz val="8"/>
      <color rgb="FF595959"/>
      <name val="Avenir Next LT Pro"/>
      <family val="2"/>
    </font>
    <font>
      <sz val="8"/>
      <color rgb="FF808080"/>
      <name val="Avenir Next LT Pro"/>
      <family val="2"/>
    </font>
    <font>
      <b/>
      <sz val="11"/>
      <color rgb="FFFFFFFF"/>
      <name val="Avenir Next LT Pro Demi"/>
      <family val="2"/>
    </font>
    <font>
      <b/>
      <sz val="12"/>
      <name val="Avenir Next LT Pro"/>
      <family val="2"/>
    </font>
    <font>
      <i/>
      <sz val="9"/>
      <name val="Avenir Next LT Pro"/>
      <family val="2"/>
    </font>
    <font>
      <sz val="9"/>
      <color theme="1"/>
      <name val="Avenir Next LT Pro"/>
      <family val="2"/>
    </font>
    <font>
      <i/>
      <sz val="9"/>
      <color theme="1"/>
      <name val="Avenir Next LT Pro"/>
      <family val="2"/>
    </font>
    <font>
      <b/>
      <i/>
      <sz val="11"/>
      <color rgb="FF424242"/>
      <name val="Avenir Next LT Pro"/>
      <family val="2"/>
    </font>
    <font>
      <b/>
      <i/>
      <sz val="10"/>
      <color theme="1"/>
      <name val="Avenir Next LT Pro"/>
      <family val="2"/>
    </font>
    <font>
      <b/>
      <sz val="11"/>
      <color rgb="FF9C0006"/>
      <name val="Calibri"/>
      <family val="2"/>
      <charset val="1"/>
    </font>
  </fonts>
  <fills count="21">
    <fill>
      <patternFill patternType="none"/>
    </fill>
    <fill>
      <patternFill patternType="gray125"/>
    </fill>
    <fill>
      <patternFill patternType="solid">
        <fgColor rgb="FF1F3864"/>
        <bgColor rgb="FF424242"/>
      </patternFill>
    </fill>
    <fill>
      <patternFill patternType="solid">
        <fgColor rgb="FF2E7D6B"/>
        <bgColor rgb="FF008080"/>
      </patternFill>
    </fill>
    <fill>
      <patternFill patternType="solid">
        <fgColor rgb="FFDDEBE7"/>
        <bgColor rgb="FFDDEBF7"/>
      </patternFill>
    </fill>
    <fill>
      <patternFill patternType="solid">
        <fgColor rgb="FFF2F2F2"/>
        <bgColor rgb="FFF0F9F0"/>
      </patternFill>
    </fill>
    <fill>
      <patternFill patternType="solid">
        <fgColor rgb="FFF7FBF9"/>
        <bgColor rgb="FFF0F9F0"/>
      </patternFill>
    </fill>
    <fill>
      <patternFill patternType="solid">
        <fgColor rgb="FFFFFF00"/>
        <bgColor rgb="FFFFEB9C"/>
      </patternFill>
    </fill>
    <fill>
      <patternFill patternType="solid">
        <fgColor rgb="FFFFFDE7"/>
        <bgColor rgb="FFFFF8E7"/>
      </patternFill>
    </fill>
    <fill>
      <patternFill patternType="solid">
        <fgColor rgb="FFC6EFCE"/>
        <bgColor rgb="FFDDEBE7"/>
      </patternFill>
    </fill>
    <fill>
      <patternFill patternType="solid">
        <fgColor rgb="FFFFF2CC"/>
        <bgColor rgb="FFFFF8E7"/>
      </patternFill>
    </fill>
    <fill>
      <patternFill patternType="solid">
        <fgColor rgb="FFFFC7CE"/>
        <bgColor rgb="FFD9D9D9"/>
      </patternFill>
    </fill>
    <fill>
      <patternFill patternType="solid">
        <fgColor rgb="FFF0F9F0"/>
        <bgColor rgb="FFF7FBF9"/>
      </patternFill>
    </fill>
    <fill>
      <patternFill patternType="solid">
        <fgColor rgb="FFFFF8E7"/>
        <bgColor rgb="FFFFFDE7"/>
      </patternFill>
    </fill>
    <fill>
      <patternFill patternType="solid">
        <fgColor rgb="FFFDEFEF"/>
        <bgColor rgb="FFF2F2F2"/>
      </patternFill>
    </fill>
    <fill>
      <patternFill patternType="solid">
        <fgColor rgb="FF7B2D26"/>
        <bgColor rgb="FF424242"/>
      </patternFill>
    </fill>
    <fill>
      <patternFill patternType="solid">
        <fgColor rgb="FFFFEB9C"/>
        <bgColor rgb="FFFFF2CC"/>
      </patternFill>
    </fill>
    <fill>
      <patternFill patternType="solid">
        <fgColor theme="9" tint="-0.249977111117893"/>
        <bgColor rgb="FFC55A11"/>
      </patternFill>
    </fill>
    <fill>
      <patternFill patternType="solid">
        <fgColor theme="0"/>
        <bgColor indexed="64"/>
      </patternFill>
    </fill>
    <fill>
      <patternFill patternType="solid">
        <fgColor theme="0"/>
        <bgColor rgb="FFDDEBF7"/>
      </patternFill>
    </fill>
    <fill>
      <patternFill patternType="solid">
        <fgColor rgb="FFFFFF00"/>
        <bgColor indexed="64"/>
      </patternFill>
    </fill>
  </fills>
  <borders count="28">
    <border>
      <left/>
      <right/>
      <top/>
      <bottom/>
      <diagonal/>
    </border>
    <border>
      <left/>
      <right/>
      <top/>
      <bottom style="medium">
        <color rgb="FFCA2B55"/>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style="thin">
        <color rgb="FFBFBFBF"/>
      </left>
      <right/>
      <top style="thin">
        <color rgb="FFBFBFBF"/>
      </top>
      <bottom/>
      <diagonal/>
    </border>
    <border>
      <left style="thin">
        <color rgb="FFBFBFBF"/>
      </left>
      <right style="thin">
        <color rgb="FFBFBFBF"/>
      </right>
      <top/>
      <bottom style="thin">
        <color rgb="FFBFBFBF"/>
      </bottom>
      <diagonal/>
    </border>
    <border>
      <left style="thin">
        <color rgb="FFBFBFBF"/>
      </left>
      <right/>
      <top/>
      <bottom style="thin">
        <color rgb="FFBFBFBF"/>
      </bottom>
      <diagonal/>
    </border>
    <border>
      <left style="medium">
        <color indexed="64"/>
      </left>
      <right style="thin">
        <color theme="0" tint="-0.14999847407452621"/>
      </right>
      <top style="medium">
        <color indexed="64"/>
      </top>
      <bottom style="medium">
        <color indexed="64"/>
      </bottom>
      <diagonal/>
    </border>
    <border>
      <left style="thin">
        <color theme="0" tint="-0.14999847407452621"/>
      </left>
      <right style="thin">
        <color theme="0" tint="-0.14999847407452621"/>
      </right>
      <top style="medium">
        <color indexed="64"/>
      </top>
      <bottom style="medium">
        <color indexed="64"/>
      </bottom>
      <diagonal/>
    </border>
    <border>
      <left style="thin">
        <color theme="0" tint="-0.14999847407452621"/>
      </left>
      <right style="medium">
        <color indexed="64"/>
      </right>
      <top style="medium">
        <color indexed="64"/>
      </top>
      <bottom style="medium">
        <color indexed="64"/>
      </bottom>
      <diagonal/>
    </border>
    <border>
      <left style="medium">
        <color indexed="64"/>
      </left>
      <right style="thin">
        <color rgb="FFBFBFBF"/>
      </right>
      <top style="medium">
        <color indexed="64"/>
      </top>
      <bottom style="thin">
        <color rgb="FFBFBFBF"/>
      </bottom>
      <diagonal/>
    </border>
    <border>
      <left style="thin">
        <color rgb="FFBFBFBF"/>
      </left>
      <right style="thin">
        <color rgb="FFBFBFBF"/>
      </right>
      <top style="medium">
        <color indexed="64"/>
      </top>
      <bottom style="thin">
        <color rgb="FFBFBFBF"/>
      </bottom>
      <diagonal/>
    </border>
    <border>
      <left style="thin">
        <color rgb="FFBFBFBF"/>
      </left>
      <right style="medium">
        <color indexed="64"/>
      </right>
      <top style="medium">
        <color indexed="64"/>
      </top>
      <bottom style="thin">
        <color rgb="FFBFBFBF"/>
      </bottom>
      <diagonal/>
    </border>
    <border>
      <left style="medium">
        <color indexed="64"/>
      </left>
      <right style="thin">
        <color rgb="FFBFBFBF"/>
      </right>
      <top style="thin">
        <color rgb="FFBFBFBF"/>
      </top>
      <bottom style="thin">
        <color rgb="FFBFBFBF"/>
      </bottom>
      <diagonal/>
    </border>
    <border>
      <left style="thin">
        <color rgb="FFBFBFBF"/>
      </left>
      <right style="medium">
        <color indexed="64"/>
      </right>
      <top style="thin">
        <color rgb="FFBFBFBF"/>
      </top>
      <bottom style="thin">
        <color rgb="FFBFBFBF"/>
      </bottom>
      <diagonal/>
    </border>
    <border>
      <left style="medium">
        <color indexed="64"/>
      </left>
      <right style="thin">
        <color rgb="FFBFBFBF"/>
      </right>
      <top style="thin">
        <color rgb="FFBFBFBF"/>
      </top>
      <bottom style="medium">
        <color indexed="64"/>
      </bottom>
      <diagonal/>
    </border>
    <border>
      <left style="thin">
        <color rgb="FFBFBFBF"/>
      </left>
      <right style="thin">
        <color rgb="FFBFBFBF"/>
      </right>
      <top style="thin">
        <color rgb="FFBFBFBF"/>
      </top>
      <bottom style="medium">
        <color indexed="64"/>
      </bottom>
      <diagonal/>
    </border>
    <border>
      <left style="thin">
        <color rgb="FFBFBFBF"/>
      </left>
      <right style="medium">
        <color indexed="64"/>
      </right>
      <top style="thin">
        <color rgb="FFBFBFBF"/>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rgb="FFBFBFBF"/>
      </left>
      <right style="thin">
        <color indexed="64"/>
      </right>
      <top style="thin">
        <color rgb="FFBFBFBF"/>
      </top>
      <bottom style="thin">
        <color rgb="FFBFBFBF"/>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12">
    <xf numFmtId="0" fontId="0" fillId="0" borderId="0" xfId="0"/>
    <xf numFmtId="0" fontId="1" fillId="0" borderId="0" xfId="0" applyFont="1"/>
    <xf numFmtId="1" fontId="1" fillId="0" borderId="0" xfId="0" applyNumberFormat="1" applyFont="1"/>
    <xf numFmtId="0" fontId="3" fillId="0" borderId="0" xfId="0" applyFont="1"/>
    <xf numFmtId="0" fontId="4" fillId="0" borderId="0" xfId="0" applyFont="1"/>
    <xf numFmtId="0" fontId="4" fillId="0" borderId="0" xfId="0" applyFont="1" applyAlignment="1">
      <alignment horizontal="center" vertical="center" wrapText="1"/>
    </xf>
    <xf numFmtId="0" fontId="4" fillId="0" borderId="1" xfId="0" applyFont="1" applyBorder="1"/>
    <xf numFmtId="0" fontId="4" fillId="0" borderId="0" xfId="0" applyFont="1" applyAlignment="1">
      <alignment horizontal="left" vertical="center" wrapText="1" indent="1"/>
    </xf>
    <xf numFmtId="0" fontId="9" fillId="0" borderId="0" xfId="0" applyFont="1"/>
    <xf numFmtId="0" fontId="11" fillId="3" borderId="3" xfId="0" applyFont="1" applyFill="1" applyBorder="1" applyAlignment="1">
      <alignment horizontal="left" vertical="center" wrapText="1"/>
    </xf>
    <xf numFmtId="0" fontId="12" fillId="4" borderId="3" xfId="0" applyFont="1" applyFill="1" applyBorder="1" applyAlignment="1">
      <alignment vertical="top" wrapText="1"/>
    </xf>
    <xf numFmtId="0" fontId="4" fillId="0" borderId="3" xfId="0" applyFont="1" applyBorder="1" applyAlignment="1">
      <alignment vertical="top" wrapText="1"/>
    </xf>
    <xf numFmtId="0" fontId="12" fillId="5" borderId="3" xfId="0" applyFont="1" applyFill="1" applyBorder="1" applyAlignment="1">
      <alignment vertical="top" wrapText="1"/>
    </xf>
    <xf numFmtId="0" fontId="11" fillId="3" borderId="11" xfId="0" applyFont="1" applyFill="1" applyBorder="1" applyAlignment="1">
      <alignment horizontal="left" vertical="center" wrapText="1"/>
    </xf>
    <xf numFmtId="0" fontId="11" fillId="3" borderId="12" xfId="0" applyFont="1" applyFill="1" applyBorder="1" applyAlignment="1">
      <alignment horizontal="left" vertical="center" wrapText="1"/>
    </xf>
    <xf numFmtId="0" fontId="12" fillId="0" borderId="14" xfId="0" applyFont="1" applyBorder="1" applyAlignment="1">
      <alignment vertical="top" wrapText="1"/>
    </xf>
    <xf numFmtId="0" fontId="12" fillId="0" borderId="16" xfId="0" applyFont="1" applyBorder="1" applyAlignment="1">
      <alignment vertical="top" wrapText="1"/>
    </xf>
    <xf numFmtId="0" fontId="12" fillId="4" borderId="17" xfId="0" applyFont="1" applyFill="1" applyBorder="1" applyAlignment="1">
      <alignment vertical="top" wrapText="1"/>
    </xf>
    <xf numFmtId="0" fontId="12" fillId="5" borderId="14" xfId="0" applyFont="1" applyFill="1" applyBorder="1" applyAlignment="1">
      <alignment vertical="top" wrapText="1"/>
    </xf>
    <xf numFmtId="0" fontId="12" fillId="5" borderId="16" xfId="0" applyFont="1" applyFill="1" applyBorder="1" applyAlignment="1">
      <alignment vertical="top" wrapText="1"/>
    </xf>
    <xf numFmtId="0" fontId="12" fillId="4" borderId="11" xfId="0" applyFont="1" applyFill="1" applyBorder="1" applyAlignment="1">
      <alignment vertical="top" wrapText="1"/>
    </xf>
    <xf numFmtId="0" fontId="12" fillId="4" borderId="14" xfId="0" applyFont="1" applyFill="1" applyBorder="1" applyAlignment="1">
      <alignment vertical="top" wrapText="1"/>
    </xf>
    <xf numFmtId="0" fontId="12" fillId="4" borderId="16" xfId="0" applyFont="1" applyFill="1" applyBorder="1" applyAlignment="1">
      <alignment vertical="top" wrapText="1"/>
    </xf>
    <xf numFmtId="0" fontId="15" fillId="0" borderId="0" xfId="0" applyFont="1"/>
    <xf numFmtId="0" fontId="3" fillId="0" borderId="0" xfId="0" applyFont="1" applyAlignment="1">
      <alignment vertical="center"/>
    </xf>
    <xf numFmtId="0" fontId="17" fillId="4" borderId="3" xfId="0" applyFont="1" applyFill="1" applyBorder="1" applyAlignment="1">
      <alignment vertical="center" wrapText="1"/>
    </xf>
    <xf numFmtId="0" fontId="10" fillId="6" borderId="3" xfId="0" applyFont="1" applyFill="1" applyBorder="1" applyAlignment="1">
      <alignment vertical="center" wrapText="1"/>
    </xf>
    <xf numFmtId="0" fontId="17" fillId="5" borderId="3" xfId="0" applyFont="1" applyFill="1" applyBorder="1" applyAlignment="1">
      <alignment vertical="center" wrapText="1"/>
    </xf>
    <xf numFmtId="0" fontId="10" fillId="0" borderId="3" xfId="0" applyFont="1" applyBorder="1" applyAlignment="1">
      <alignment vertical="center" wrapText="1"/>
    </xf>
    <xf numFmtId="0" fontId="18" fillId="2" borderId="3" xfId="0" applyFont="1" applyFill="1" applyBorder="1" applyAlignment="1">
      <alignment horizontal="left" vertical="center" wrapText="1"/>
    </xf>
    <xf numFmtId="0" fontId="18" fillId="3" borderId="3" xfId="0" applyFont="1" applyFill="1" applyBorder="1" applyAlignment="1">
      <alignment horizontal="left" vertical="center" wrapText="1"/>
    </xf>
    <xf numFmtId="0" fontId="4" fillId="5" borderId="3" xfId="0" applyFont="1" applyFill="1" applyBorder="1" applyAlignment="1">
      <alignment vertical="top" wrapText="1"/>
    </xf>
    <xf numFmtId="0" fontId="12" fillId="0" borderId="0" xfId="0" applyFont="1"/>
    <xf numFmtId="0" fontId="10" fillId="0" borderId="3" xfId="0" applyFont="1" applyBorder="1" applyAlignment="1">
      <alignment vertical="top" wrapText="1"/>
    </xf>
    <xf numFmtId="0" fontId="23" fillId="0" borderId="3" xfId="0" applyFont="1" applyBorder="1" applyAlignment="1">
      <alignment vertical="top" wrapText="1"/>
    </xf>
    <xf numFmtId="0" fontId="24" fillId="0" borderId="0" xfId="0" applyFont="1" applyAlignment="1">
      <alignment horizontal="right" vertical="center"/>
    </xf>
    <xf numFmtId="0" fontId="27" fillId="0" borderId="0" xfId="0" applyFont="1"/>
    <xf numFmtId="0" fontId="11" fillId="3" borderId="3" xfId="0" applyFont="1" applyFill="1" applyBorder="1" applyAlignment="1">
      <alignment horizontal="center" vertical="center" wrapText="1"/>
    </xf>
    <xf numFmtId="0" fontId="28" fillId="0" borderId="3" xfId="0" applyFont="1" applyBorder="1" applyAlignment="1">
      <alignment horizontal="center" vertical="top"/>
    </xf>
    <xf numFmtId="0" fontId="22" fillId="7" borderId="3" xfId="0" applyFont="1" applyFill="1" applyBorder="1" applyAlignment="1">
      <alignment horizontal="center" vertical="center" wrapText="1"/>
    </xf>
    <xf numFmtId="0" fontId="29" fillId="0" borderId="3" xfId="0" applyFont="1" applyBorder="1" applyAlignment="1">
      <alignment horizontal="center" vertical="center" wrapText="1"/>
    </xf>
    <xf numFmtId="0" fontId="30" fillId="0" borderId="3" xfId="0" applyFont="1" applyBorder="1" applyAlignment="1">
      <alignment horizontal="center" vertical="center"/>
    </xf>
    <xf numFmtId="0" fontId="31" fillId="0" borderId="0" xfId="0" applyFont="1" applyAlignment="1">
      <alignment horizontal="right" vertical="center" wrapText="1"/>
    </xf>
    <xf numFmtId="2" fontId="32" fillId="0" borderId="0" xfId="0" applyNumberFormat="1" applyFont="1" applyAlignment="1">
      <alignment horizontal="center" vertical="center"/>
    </xf>
    <xf numFmtId="0" fontId="35" fillId="0" borderId="3" xfId="0" applyFont="1" applyBorder="1" applyAlignment="1">
      <alignment horizontal="center" vertical="top" wrapText="1"/>
    </xf>
    <xf numFmtId="0" fontId="35" fillId="0" borderId="3" xfId="0" applyFont="1" applyBorder="1" applyAlignment="1">
      <alignment horizontal="left" vertical="top" wrapText="1"/>
    </xf>
    <xf numFmtId="0" fontId="28" fillId="4" borderId="3" xfId="0" applyFont="1" applyFill="1" applyBorder="1" applyAlignment="1">
      <alignment horizontal="center" vertical="top" wrapText="1"/>
    </xf>
    <xf numFmtId="0" fontId="12" fillId="8" borderId="3" xfId="0" applyFont="1" applyFill="1" applyBorder="1" applyAlignment="1">
      <alignment horizontal="center" vertical="top" wrapText="1"/>
    </xf>
    <xf numFmtId="0" fontId="37" fillId="0" borderId="3" xfId="0" applyFont="1" applyBorder="1" applyAlignment="1">
      <alignment horizontal="center" vertical="center" wrapText="1"/>
    </xf>
    <xf numFmtId="0" fontId="29" fillId="0" borderId="0" xfId="0" applyFont="1" applyAlignment="1">
      <alignment horizontal="right" vertical="center"/>
    </xf>
    <xf numFmtId="0" fontId="9" fillId="0" borderId="0" xfId="0" applyFont="1" applyAlignment="1">
      <alignment horizontal="right" vertical="center"/>
    </xf>
    <xf numFmtId="0" fontId="21" fillId="3" borderId="3" xfId="0" applyFont="1" applyFill="1" applyBorder="1" applyAlignment="1">
      <alignment horizontal="center" vertical="center" wrapText="1"/>
    </xf>
    <xf numFmtId="0" fontId="21" fillId="3" borderId="3" xfId="0" applyFont="1" applyFill="1" applyBorder="1" applyAlignment="1">
      <alignment horizontal="center" vertical="center"/>
    </xf>
    <xf numFmtId="0" fontId="28" fillId="9" borderId="3" xfId="0" applyFont="1" applyFill="1" applyBorder="1" applyAlignment="1">
      <alignment horizontal="center" vertical="center" wrapText="1"/>
    </xf>
    <xf numFmtId="0" fontId="28" fillId="10" borderId="3" xfId="0" applyFont="1" applyFill="1" applyBorder="1" applyAlignment="1">
      <alignment horizontal="center" vertical="center" wrapText="1"/>
    </xf>
    <xf numFmtId="0" fontId="28" fillId="11" borderId="3" xfId="0" applyFont="1" applyFill="1" applyBorder="1" applyAlignment="1">
      <alignment horizontal="center" vertical="center" wrapText="1"/>
    </xf>
    <xf numFmtId="0" fontId="28" fillId="5" borderId="3" xfId="0" applyFont="1" applyFill="1" applyBorder="1" applyAlignment="1">
      <alignment horizontal="center" vertical="center" wrapText="1"/>
    </xf>
    <xf numFmtId="0" fontId="40" fillId="0" borderId="0" xfId="0" applyFont="1" applyAlignment="1">
      <alignment vertical="top" wrapText="1"/>
    </xf>
    <xf numFmtId="0" fontId="29" fillId="0" borderId="0" xfId="0" applyFont="1" applyAlignment="1">
      <alignment vertical="top" wrapText="1"/>
    </xf>
    <xf numFmtId="49" fontId="40" fillId="5" borderId="3" xfId="0" applyNumberFormat="1" applyFont="1" applyFill="1" applyBorder="1" applyAlignment="1">
      <alignment vertical="center"/>
    </xf>
    <xf numFmtId="0" fontId="3" fillId="0" borderId="22" xfId="0" applyFont="1" applyBorder="1"/>
    <xf numFmtId="0" fontId="3" fillId="0" borderId="23" xfId="0" applyFont="1" applyBorder="1"/>
    <xf numFmtId="0" fontId="29" fillId="0" borderId="22" xfId="0" applyFont="1" applyBorder="1" applyAlignment="1">
      <alignment vertical="top" wrapText="1"/>
    </xf>
    <xf numFmtId="0" fontId="38" fillId="0" borderId="0" xfId="0" applyFont="1" applyAlignment="1">
      <alignment horizontal="right" vertical="center" wrapText="1"/>
    </xf>
    <xf numFmtId="0" fontId="40" fillId="0" borderId="0" xfId="0" applyFont="1" applyAlignment="1">
      <alignment horizontal="right"/>
    </xf>
    <xf numFmtId="0" fontId="40" fillId="0" borderId="0" xfId="0" applyFont="1"/>
    <xf numFmtId="1" fontId="40" fillId="0" borderId="0" xfId="0" applyNumberFormat="1" applyFont="1"/>
    <xf numFmtId="0" fontId="38" fillId="0" borderId="0" xfId="0" applyFont="1" applyAlignment="1">
      <alignment horizontal="right" vertical="top" wrapText="1"/>
    </xf>
    <xf numFmtId="0" fontId="35" fillId="0" borderId="3" xfId="0" applyFont="1" applyBorder="1" applyAlignment="1">
      <alignment vertical="top" wrapText="1"/>
    </xf>
    <xf numFmtId="0" fontId="28" fillId="0" borderId="3" xfId="0" applyFont="1" applyBorder="1" applyAlignment="1">
      <alignment horizontal="center" vertical="top" wrapText="1"/>
    </xf>
    <xf numFmtId="0" fontId="35" fillId="4" borderId="3" xfId="0" applyFont="1" applyFill="1" applyBorder="1" applyAlignment="1">
      <alignment vertical="top" wrapText="1"/>
    </xf>
    <xf numFmtId="0" fontId="29" fillId="0" borderId="0" xfId="0" applyFont="1" applyAlignment="1">
      <alignment vertical="center"/>
    </xf>
    <xf numFmtId="0" fontId="22" fillId="7" borderId="3" xfId="0" applyFont="1" applyFill="1" applyBorder="1" applyAlignment="1">
      <alignment vertical="center" wrapText="1"/>
    </xf>
    <xf numFmtId="0" fontId="29" fillId="0" borderId="0" xfId="0" applyFont="1" applyAlignment="1">
      <alignment vertical="center" wrapText="1"/>
    </xf>
    <xf numFmtId="0" fontId="29" fillId="5" borderId="3" xfId="0" applyFont="1" applyFill="1" applyBorder="1" applyAlignment="1">
      <alignment vertical="center"/>
    </xf>
    <xf numFmtId="1" fontId="29" fillId="5" borderId="3" xfId="0" applyNumberFormat="1" applyFont="1" applyFill="1" applyBorder="1" applyAlignment="1">
      <alignment vertical="center"/>
    </xf>
    <xf numFmtId="0" fontId="24" fillId="0" borderId="0" xfId="0" applyFont="1" applyAlignment="1">
      <alignment vertical="center"/>
    </xf>
    <xf numFmtId="0" fontId="11" fillId="3" borderId="3" xfId="0" applyFont="1" applyFill="1" applyBorder="1" applyAlignment="1">
      <alignment vertical="center" wrapText="1"/>
    </xf>
    <xf numFmtId="49" fontId="4" fillId="0" borderId="3" xfId="0" applyNumberFormat="1" applyFont="1" applyBorder="1" applyAlignment="1">
      <alignment vertical="center"/>
    </xf>
    <xf numFmtId="0" fontId="4" fillId="0" borderId="3" xfId="0" applyFont="1" applyBorder="1" applyAlignment="1">
      <alignment vertical="center"/>
    </xf>
    <xf numFmtId="1" fontId="4" fillId="0" borderId="3" xfId="0" applyNumberFormat="1" applyFont="1" applyBorder="1" applyAlignment="1">
      <alignment horizontal="center" vertical="center"/>
    </xf>
    <xf numFmtId="0" fontId="35" fillId="0" borderId="3" xfId="0" applyFont="1" applyBorder="1" applyAlignment="1">
      <alignment vertical="center" wrapText="1"/>
    </xf>
    <xf numFmtId="0" fontId="4" fillId="0" borderId="3" xfId="0" applyFont="1" applyBorder="1" applyAlignment="1">
      <alignment vertical="center" wrapText="1"/>
    </xf>
    <xf numFmtId="0" fontId="40" fillId="0" borderId="3" xfId="0" applyFont="1" applyBorder="1" applyAlignment="1">
      <alignment horizontal="left" vertical="top" wrapText="1"/>
    </xf>
    <xf numFmtId="0" fontId="28" fillId="0" borderId="3" xfId="0" applyFont="1" applyBorder="1" applyAlignment="1">
      <alignment horizontal="left" vertical="top" wrapText="1"/>
    </xf>
    <xf numFmtId="0" fontId="38" fillId="0" borderId="3" xfId="0" applyFont="1" applyBorder="1" applyAlignment="1">
      <alignment horizontal="left" vertical="top" wrapText="1"/>
    </xf>
    <xf numFmtId="0" fontId="35" fillId="12" borderId="3" xfId="0" applyFont="1" applyFill="1" applyBorder="1" applyAlignment="1">
      <alignment horizontal="left" vertical="top" wrapText="1"/>
    </xf>
    <xf numFmtId="0" fontId="35" fillId="13" borderId="3" xfId="0" applyFont="1" applyFill="1" applyBorder="1" applyAlignment="1">
      <alignment horizontal="left" vertical="top" wrapText="1"/>
    </xf>
    <xf numFmtId="0" fontId="35" fillId="14" borderId="3" xfId="0" applyFont="1" applyFill="1" applyBorder="1" applyAlignment="1">
      <alignment horizontal="left" vertical="top" wrapText="1"/>
    </xf>
    <xf numFmtId="0" fontId="12" fillId="4" borderId="3" xfId="0" applyFont="1" applyFill="1" applyBorder="1" applyAlignment="1">
      <alignment horizontal="center" vertical="top" wrapText="1"/>
    </xf>
    <xf numFmtId="49" fontId="40" fillId="0" borderId="3" xfId="0" applyNumberFormat="1" applyFont="1" applyBorder="1" applyAlignment="1">
      <alignment vertical="center" wrapText="1"/>
    </xf>
    <xf numFmtId="0" fontId="28" fillId="0" borderId="3" xfId="0" applyFont="1" applyBorder="1" applyAlignment="1">
      <alignment vertical="top" wrapText="1"/>
    </xf>
    <xf numFmtId="49" fontId="40" fillId="0" borderId="3" xfId="0" applyNumberFormat="1" applyFont="1" applyBorder="1" applyAlignment="1">
      <alignment horizontal="center" vertical="center" wrapText="1"/>
    </xf>
    <xf numFmtId="0" fontId="28" fillId="0" borderId="3" xfId="0" applyFont="1" applyBorder="1" applyAlignment="1">
      <alignment vertical="center" wrapText="1"/>
    </xf>
    <xf numFmtId="0" fontId="12" fillId="4" borderId="3" xfId="0" applyFont="1" applyFill="1" applyBorder="1" applyAlignment="1">
      <alignment horizontal="center" vertical="center" wrapText="1"/>
    </xf>
    <xf numFmtId="49" fontId="40" fillId="12" borderId="3" xfId="0" applyNumberFormat="1" applyFont="1" applyFill="1" applyBorder="1" applyAlignment="1">
      <alignment vertical="center" wrapText="1"/>
    </xf>
    <xf numFmtId="0" fontId="28" fillId="12" borderId="3" xfId="0" applyFont="1" applyFill="1" applyBorder="1" applyAlignment="1">
      <alignment vertical="top" wrapText="1"/>
    </xf>
    <xf numFmtId="49" fontId="40" fillId="12" borderId="3" xfId="0" applyNumberFormat="1" applyFont="1" applyFill="1" applyBorder="1" applyAlignment="1">
      <alignment horizontal="center" vertical="center" wrapText="1"/>
    </xf>
    <xf numFmtId="0" fontId="28" fillId="12" borderId="3" xfId="0" applyFont="1" applyFill="1" applyBorder="1" applyAlignment="1">
      <alignment vertical="center" wrapText="1"/>
    </xf>
    <xf numFmtId="0" fontId="35" fillId="12" borderId="3" xfId="0" applyFont="1" applyFill="1" applyBorder="1" applyAlignment="1">
      <alignment vertical="top" wrapText="1"/>
    </xf>
    <xf numFmtId="0" fontId="40" fillId="0" borderId="0" xfId="0" applyFont="1" applyAlignment="1">
      <alignment vertical="center"/>
    </xf>
    <xf numFmtId="0" fontId="28" fillId="4" borderId="3" xfId="0" applyFont="1" applyFill="1" applyBorder="1" applyAlignment="1">
      <alignment horizontal="left" vertical="top" wrapText="1"/>
    </xf>
    <xf numFmtId="0" fontId="11" fillId="3" borderId="6" xfId="0" applyFont="1" applyFill="1" applyBorder="1" applyAlignment="1">
      <alignment horizontal="left" vertical="center" wrapText="1"/>
    </xf>
    <xf numFmtId="0" fontId="28" fillId="5" borderId="3" xfId="0" applyFont="1" applyFill="1" applyBorder="1" applyAlignment="1">
      <alignment horizontal="left" vertical="top" wrapText="1"/>
    </xf>
    <xf numFmtId="0" fontId="43" fillId="0" borderId="3" xfId="0" applyFont="1" applyBorder="1" applyAlignment="1">
      <alignment horizontal="left" vertical="top" wrapText="1"/>
    </xf>
    <xf numFmtId="0" fontId="35" fillId="9" borderId="3" xfId="0" applyFont="1" applyFill="1" applyBorder="1" applyAlignment="1">
      <alignment horizontal="left" vertical="top" wrapText="1"/>
    </xf>
    <xf numFmtId="0" fontId="35" fillId="16" borderId="3" xfId="0" applyFont="1" applyFill="1" applyBorder="1" applyAlignment="1">
      <alignment horizontal="left" vertical="top" wrapText="1"/>
    </xf>
    <xf numFmtId="0" fontId="35" fillId="11" borderId="3" xfId="0" applyFont="1" applyFill="1" applyBorder="1" applyAlignment="1">
      <alignment horizontal="left" vertical="top" wrapText="1"/>
    </xf>
    <xf numFmtId="0" fontId="35" fillId="11" borderId="3" xfId="0" applyFont="1" applyFill="1" applyBorder="1" applyAlignment="1">
      <alignment horizontal="left" wrapText="1"/>
    </xf>
    <xf numFmtId="0" fontId="45" fillId="0" borderId="3" xfId="0" applyFont="1" applyBorder="1" applyAlignment="1">
      <alignment horizontal="left" vertical="top" wrapText="1"/>
    </xf>
    <xf numFmtId="0" fontId="11" fillId="17" borderId="3" xfId="0" applyFont="1" applyFill="1" applyBorder="1" applyAlignment="1">
      <alignment vertical="center"/>
    </xf>
    <xf numFmtId="0" fontId="17" fillId="0" borderId="3" xfId="0" applyFont="1" applyBorder="1" applyAlignment="1">
      <alignment vertical="center" wrapText="1"/>
    </xf>
    <xf numFmtId="0" fontId="3" fillId="18" borderId="0" xfId="0" applyFont="1" applyFill="1"/>
    <xf numFmtId="0" fontId="12" fillId="18" borderId="0" xfId="0" applyFont="1" applyFill="1" applyAlignment="1">
      <alignment vertical="top" wrapText="1"/>
    </xf>
    <xf numFmtId="0" fontId="12" fillId="19" borderId="0" xfId="0" applyFont="1" applyFill="1" applyAlignment="1">
      <alignment vertical="top" wrapText="1"/>
    </xf>
    <xf numFmtId="0" fontId="4" fillId="18" borderId="0" xfId="0" applyFont="1" applyFill="1" applyAlignment="1">
      <alignment vertical="top" wrapText="1"/>
    </xf>
    <xf numFmtId="0" fontId="14" fillId="2" borderId="0" xfId="0" applyFont="1" applyFill="1" applyAlignment="1">
      <alignment vertical="center"/>
    </xf>
    <xf numFmtId="0" fontId="16" fillId="0" borderId="0" xfId="0" applyFont="1" applyAlignment="1">
      <alignment vertical="center"/>
    </xf>
    <xf numFmtId="0" fontId="7" fillId="0" borderId="0" xfId="0" applyFont="1" applyAlignment="1">
      <alignment horizontal="center" vertical="center" wrapText="1"/>
    </xf>
    <xf numFmtId="0" fontId="2" fillId="2" borderId="0" xfId="0" applyFont="1" applyFill="1" applyAlignment="1">
      <alignment horizontal="center" vertical="center"/>
    </xf>
    <xf numFmtId="0" fontId="5" fillId="0" borderId="0" xfId="0" applyFont="1" applyAlignment="1">
      <alignment horizontal="center" vertical="center" wrapText="1"/>
    </xf>
    <xf numFmtId="0" fontId="6" fillId="0" borderId="0" xfId="0" applyFont="1" applyAlignment="1">
      <alignment horizontal="center" vertical="center" wrapText="1"/>
    </xf>
    <xf numFmtId="0" fontId="46" fillId="0" borderId="0" xfId="0" applyFont="1" applyAlignment="1">
      <alignment horizontal="center" vertical="center" wrapText="1"/>
    </xf>
    <xf numFmtId="0" fontId="8" fillId="0" borderId="0" xfId="0" applyFont="1" applyAlignment="1">
      <alignment horizontal="center" vertical="center" wrapText="1"/>
    </xf>
    <xf numFmtId="0" fontId="4" fillId="0" borderId="3" xfId="0" applyFont="1" applyBorder="1" applyAlignment="1">
      <alignment vertical="top" wrapText="1"/>
    </xf>
    <xf numFmtId="0" fontId="4" fillId="0" borderId="15" xfId="0" applyFont="1" applyBorder="1" applyAlignment="1">
      <alignment vertical="top" wrapText="1"/>
    </xf>
    <xf numFmtId="0" fontId="4" fillId="0" borderId="17" xfId="0" applyFont="1" applyBorder="1" applyAlignment="1">
      <alignment vertical="top" wrapText="1"/>
    </xf>
    <xf numFmtId="0" fontId="4" fillId="0" borderId="18" xfId="0" applyFont="1" applyBorder="1" applyAlignment="1">
      <alignment vertical="top" wrapText="1"/>
    </xf>
    <xf numFmtId="0" fontId="4" fillId="0" borderId="12" xfId="0" applyFont="1" applyBorder="1" applyAlignment="1">
      <alignment vertical="top" wrapText="1"/>
    </xf>
    <xf numFmtId="0" fontId="4" fillId="0" borderId="13" xfId="0" applyFont="1" applyBorder="1" applyAlignment="1">
      <alignment vertical="top" wrapText="1"/>
    </xf>
    <xf numFmtId="0" fontId="11" fillId="3" borderId="12" xfId="0" applyFont="1" applyFill="1" applyBorder="1" applyAlignment="1">
      <alignment horizontal="left" vertical="center" wrapText="1"/>
    </xf>
    <xf numFmtId="0" fontId="11" fillId="3" borderId="13" xfId="0" applyFont="1" applyFill="1" applyBorder="1" applyAlignment="1">
      <alignment horizontal="left" vertical="center" wrapText="1"/>
    </xf>
    <xf numFmtId="0" fontId="10" fillId="0" borderId="8" xfId="0" applyFont="1" applyBorder="1" applyAlignment="1">
      <alignment vertical="top" wrapText="1"/>
    </xf>
    <xf numFmtId="0" fontId="10" fillId="0" borderId="9" xfId="0" applyFont="1" applyBorder="1" applyAlignment="1">
      <alignment vertical="top" wrapText="1"/>
    </xf>
    <xf numFmtId="0" fontId="10" fillId="0" borderId="10" xfId="0" applyFont="1" applyBorder="1" applyAlignment="1">
      <alignment vertical="top" wrapText="1"/>
    </xf>
    <xf numFmtId="0" fontId="11" fillId="2" borderId="0" xfId="0" applyFont="1" applyFill="1" applyAlignment="1">
      <alignment horizontal="left" vertical="center" wrapText="1"/>
    </xf>
    <xf numFmtId="0" fontId="4" fillId="0" borderId="0" xfId="0" applyFont="1" applyAlignment="1">
      <alignment vertical="top" wrapText="1"/>
    </xf>
    <xf numFmtId="0" fontId="34" fillId="0" borderId="0" xfId="0" applyFont="1" applyAlignment="1">
      <alignment vertical="center" wrapText="1"/>
    </xf>
    <xf numFmtId="0" fontId="33" fillId="0" borderId="0" xfId="0" applyFont="1" applyAlignment="1">
      <alignment vertical="top" wrapText="1"/>
    </xf>
    <xf numFmtId="0" fontId="24" fillId="0" borderId="0" xfId="0" applyFont="1" applyAlignment="1">
      <alignment horizontal="right" vertical="center" wrapText="1"/>
    </xf>
    <xf numFmtId="0" fontId="25" fillId="2" borderId="3" xfId="0" applyFont="1" applyFill="1" applyBorder="1" applyAlignment="1">
      <alignment horizontal="center" vertical="center" wrapText="1"/>
    </xf>
    <xf numFmtId="0" fontId="26" fillId="0" borderId="0" xfId="0" applyFont="1" applyAlignment="1">
      <alignment wrapText="1"/>
    </xf>
    <xf numFmtId="0" fontId="21" fillId="2" borderId="0" xfId="0" applyFont="1" applyFill="1" applyAlignment="1">
      <alignment horizontal="left" vertical="center" wrapText="1"/>
    </xf>
    <xf numFmtId="0" fontId="24" fillId="0" borderId="0" xfId="0" applyFont="1" applyAlignment="1">
      <alignment horizontal="right" vertical="center"/>
    </xf>
    <xf numFmtId="0" fontId="25" fillId="3" borderId="3" xfId="0" applyFont="1" applyFill="1" applyBorder="1" applyAlignment="1">
      <alignment horizontal="center" vertical="center" wrapText="1"/>
    </xf>
    <xf numFmtId="0" fontId="2" fillId="2" borderId="0" xfId="0" applyFont="1" applyFill="1" applyAlignment="1">
      <alignment vertical="center"/>
    </xf>
    <xf numFmtId="0" fontId="19" fillId="0" borderId="0" xfId="0" applyFont="1" applyAlignment="1">
      <alignment vertical="top" wrapText="1"/>
    </xf>
    <xf numFmtId="0" fontId="20" fillId="7" borderId="3" xfId="0" applyFont="1" applyFill="1" applyBorder="1"/>
    <xf numFmtId="0" fontId="31" fillId="0" borderId="0" xfId="0" applyFont="1" applyAlignment="1">
      <alignment vertical="top" wrapText="1"/>
    </xf>
    <xf numFmtId="0" fontId="21" fillId="2" borderId="3" xfId="0" applyFont="1" applyFill="1" applyBorder="1" applyAlignment="1">
      <alignment horizontal="center" vertical="center" wrapText="1"/>
    </xf>
    <xf numFmtId="0" fontId="39" fillId="0" borderId="0" xfId="0" applyFont="1" applyAlignment="1">
      <alignment vertical="top" wrapText="1"/>
    </xf>
    <xf numFmtId="0" fontId="2" fillId="2" borderId="0" xfId="0" applyFont="1" applyFill="1"/>
    <xf numFmtId="0" fontId="35" fillId="0" borderId="0" xfId="0" applyFont="1" applyAlignment="1">
      <alignment vertical="top" wrapText="1"/>
    </xf>
    <xf numFmtId="0" fontId="38" fillId="0" borderId="0" xfId="0" applyFont="1" applyAlignment="1">
      <alignment horizontal="left" vertical="center" wrapText="1"/>
    </xf>
    <xf numFmtId="0" fontId="36" fillId="0" borderId="0" xfId="0" applyFont="1" applyAlignment="1">
      <alignment vertical="top" wrapText="1"/>
    </xf>
    <xf numFmtId="0" fontId="35" fillId="0" borderId="4" xfId="0" applyFont="1" applyBorder="1" applyAlignment="1">
      <alignment vertical="top" wrapText="1"/>
    </xf>
    <xf numFmtId="0" fontId="35" fillId="0" borderId="24" xfId="0" applyFont="1" applyBorder="1" applyAlignment="1">
      <alignment vertical="top" wrapText="1"/>
    </xf>
    <xf numFmtId="0" fontId="31" fillId="0" borderId="25" xfId="0" applyFont="1" applyBorder="1" applyAlignment="1">
      <alignment vertical="top" wrapText="1"/>
    </xf>
    <xf numFmtId="0" fontId="31" fillId="0" borderId="26" xfId="0" applyFont="1" applyBorder="1" applyAlignment="1">
      <alignment vertical="top" wrapText="1"/>
    </xf>
    <xf numFmtId="0" fontId="31" fillId="0" borderId="27" xfId="0" applyFont="1" applyBorder="1" applyAlignment="1">
      <alignment vertical="top" wrapText="1"/>
    </xf>
    <xf numFmtId="0" fontId="4" fillId="5" borderId="4" xfId="0" applyFont="1" applyFill="1" applyBorder="1" applyAlignment="1">
      <alignment vertical="top" wrapText="1"/>
    </xf>
    <xf numFmtId="0" fontId="4" fillId="5" borderId="24" xfId="0" applyFont="1" applyFill="1" applyBorder="1" applyAlignment="1">
      <alignment vertical="top" wrapText="1"/>
    </xf>
    <xf numFmtId="0" fontId="31" fillId="0" borderId="22" xfId="0" applyFont="1" applyBorder="1" applyAlignment="1">
      <alignment vertical="top" wrapText="1"/>
    </xf>
    <xf numFmtId="0" fontId="31" fillId="0" borderId="23" xfId="0" applyFont="1" applyBorder="1" applyAlignment="1">
      <alignment vertical="top" wrapText="1"/>
    </xf>
    <xf numFmtId="0" fontId="21" fillId="2" borderId="22" xfId="0" applyFont="1" applyFill="1" applyBorder="1" applyAlignment="1">
      <alignment vertical="center" wrapText="1"/>
    </xf>
    <xf numFmtId="0" fontId="21" fillId="2" borderId="0" xfId="0" applyFont="1" applyFill="1" applyAlignment="1">
      <alignment vertical="center" wrapText="1"/>
    </xf>
    <xf numFmtId="0" fontId="21" fillId="2" borderId="23" xfId="0" applyFont="1" applyFill="1" applyBorder="1" applyAlignment="1">
      <alignment vertical="center" wrapText="1"/>
    </xf>
    <xf numFmtId="0" fontId="4" fillId="5" borderId="4" xfId="0" applyFont="1" applyFill="1" applyBorder="1" applyAlignment="1">
      <alignment vertical="center"/>
    </xf>
    <xf numFmtId="0" fontId="4" fillId="5" borderId="24" xfId="0" applyFont="1" applyFill="1" applyBorder="1" applyAlignment="1">
      <alignment vertical="center"/>
    </xf>
    <xf numFmtId="0" fontId="24" fillId="5" borderId="4" xfId="0" applyFont="1" applyFill="1" applyBorder="1" applyAlignment="1">
      <alignment vertical="top" wrapText="1"/>
    </xf>
    <xf numFmtId="0" fontId="24" fillId="5" borderId="24" xfId="0" applyFont="1" applyFill="1" applyBorder="1" applyAlignment="1">
      <alignment vertical="top" wrapText="1"/>
    </xf>
    <xf numFmtId="0" fontId="14" fillId="2" borderId="19" xfId="0" applyFont="1" applyFill="1" applyBorder="1" applyAlignment="1">
      <alignment vertical="center"/>
    </xf>
    <xf numFmtId="0" fontId="14" fillId="2" borderId="20" xfId="0" applyFont="1" applyFill="1" applyBorder="1" applyAlignment="1">
      <alignment vertical="center"/>
    </xf>
    <xf numFmtId="0" fontId="14" fillId="2" borderId="21" xfId="0" applyFont="1" applyFill="1" applyBorder="1" applyAlignment="1">
      <alignment vertical="center"/>
    </xf>
    <xf numFmtId="0" fontId="35" fillId="0" borderId="22" xfId="0" applyFont="1" applyBorder="1" applyAlignment="1">
      <alignment vertical="top" wrapText="1"/>
    </xf>
    <xf numFmtId="0" fontId="35" fillId="0" borderId="23" xfId="0" applyFont="1" applyBorder="1" applyAlignment="1">
      <alignment vertical="top" wrapText="1"/>
    </xf>
    <xf numFmtId="0" fontId="41" fillId="2" borderId="22" xfId="0" applyFont="1" applyFill="1" applyBorder="1" applyAlignment="1">
      <alignment vertical="center" wrapText="1"/>
    </xf>
    <xf numFmtId="0" fontId="41" fillId="2" borderId="0" xfId="0" applyFont="1" applyFill="1" applyAlignment="1">
      <alignment vertical="center" wrapText="1"/>
    </xf>
    <xf numFmtId="0" fontId="41" fillId="2" borderId="23" xfId="0" applyFont="1" applyFill="1" applyBorder="1" applyAlignment="1">
      <alignment vertical="center" wrapText="1"/>
    </xf>
    <xf numFmtId="0" fontId="9" fillId="5" borderId="4" xfId="0" applyFont="1" applyFill="1" applyBorder="1" applyAlignment="1">
      <alignment vertical="center"/>
    </xf>
    <xf numFmtId="0" fontId="9" fillId="5" borderId="24" xfId="0" applyFont="1" applyFill="1" applyBorder="1" applyAlignment="1">
      <alignment vertical="center"/>
    </xf>
    <xf numFmtId="0" fontId="35" fillId="0" borderId="3" xfId="0" applyFont="1" applyBorder="1" applyAlignment="1">
      <alignment horizontal="left" vertical="top" wrapText="1"/>
    </xf>
    <xf numFmtId="0" fontId="35" fillId="4" borderId="3" xfId="0" applyFont="1" applyFill="1" applyBorder="1" applyAlignment="1">
      <alignment vertical="top" wrapText="1"/>
    </xf>
    <xf numFmtId="0" fontId="35" fillId="0" borderId="3" xfId="0" applyFont="1" applyBorder="1" applyAlignment="1">
      <alignment vertical="top" wrapText="1"/>
    </xf>
    <xf numFmtId="0" fontId="11" fillId="3" borderId="3" xfId="0" applyFont="1" applyFill="1" applyBorder="1" applyAlignment="1">
      <alignment horizontal="left" vertical="center" wrapText="1"/>
    </xf>
    <xf numFmtId="0" fontId="35" fillId="0" borderId="0" xfId="0" applyFont="1" applyAlignment="1">
      <alignment vertical="center" wrapText="1"/>
    </xf>
    <xf numFmtId="0" fontId="42" fillId="0" borderId="3" xfId="0" applyFont="1" applyBorder="1" applyAlignment="1">
      <alignment horizontal="center" vertical="center" wrapText="1"/>
    </xf>
    <xf numFmtId="0" fontId="2" fillId="2" borderId="0" xfId="0" applyFont="1" applyFill="1" applyAlignment="1">
      <alignment horizontal="left" vertical="center" wrapText="1"/>
    </xf>
    <xf numFmtId="0" fontId="25" fillId="3" borderId="0" xfId="0" applyFont="1" applyFill="1" applyAlignment="1">
      <alignment vertical="center" wrapText="1"/>
    </xf>
    <xf numFmtId="0" fontId="35" fillId="5" borderId="0" xfId="0" applyFont="1" applyFill="1" applyAlignment="1">
      <alignment vertical="top" wrapText="1"/>
    </xf>
    <xf numFmtId="0" fontId="4" fillId="5" borderId="4" xfId="0" applyFont="1" applyFill="1" applyBorder="1" applyAlignment="1">
      <alignment vertical="center" wrapText="1"/>
    </xf>
    <xf numFmtId="0" fontId="35" fillId="5" borderId="4" xfId="0" applyFont="1" applyFill="1" applyBorder="1" applyAlignment="1">
      <alignment vertical="top" wrapText="1"/>
    </xf>
    <xf numFmtId="0" fontId="11" fillId="2" borderId="2" xfId="0" applyFont="1" applyFill="1" applyBorder="1" applyAlignment="1">
      <alignment horizontal="left" vertical="center" wrapText="1"/>
    </xf>
    <xf numFmtId="0" fontId="35" fillId="0" borderId="2" xfId="0" applyFont="1" applyBorder="1" applyAlignment="1">
      <alignment horizontal="left" vertical="top" wrapText="1"/>
    </xf>
    <xf numFmtId="0" fontId="35" fillId="0" borderId="4" xfId="0" applyFont="1" applyBorder="1" applyAlignment="1">
      <alignment horizontal="left" vertical="top" wrapText="1"/>
    </xf>
    <xf numFmtId="0" fontId="11" fillId="15" borderId="2"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11" fillId="3" borderId="4" xfId="0" applyFont="1" applyFill="1" applyBorder="1" applyAlignment="1">
      <alignment horizontal="left" vertical="center" wrapText="1"/>
    </xf>
    <xf numFmtId="0" fontId="11" fillId="3" borderId="7" xfId="0" applyFont="1" applyFill="1" applyBorder="1" applyAlignment="1">
      <alignment horizontal="left" vertical="center" wrapText="1"/>
    </xf>
    <xf numFmtId="0" fontId="44" fillId="0" borderId="4" xfId="0" applyFont="1" applyBorder="1" applyAlignment="1">
      <alignment horizontal="left" vertical="top" wrapText="1"/>
    </xf>
    <xf numFmtId="0" fontId="13" fillId="0" borderId="0" xfId="0" applyFont="1" applyAlignment="1">
      <alignment vertical="top" wrapText="1"/>
    </xf>
    <xf numFmtId="0" fontId="11" fillId="2" borderId="5" xfId="0" applyFont="1" applyFill="1" applyBorder="1" applyAlignment="1">
      <alignment horizontal="left" vertical="center" wrapText="1"/>
    </xf>
    <xf numFmtId="0" fontId="43" fillId="0" borderId="2" xfId="0" applyFont="1" applyBorder="1" applyAlignment="1">
      <alignment horizontal="left" vertical="top" wrapText="1"/>
    </xf>
    <xf numFmtId="0" fontId="28" fillId="4" borderId="3" xfId="0" applyFont="1" applyFill="1" applyBorder="1" applyAlignment="1">
      <alignment horizontal="center" vertical="center" wrapText="1"/>
    </xf>
    <xf numFmtId="0" fontId="28" fillId="4" borderId="3" xfId="0" applyFont="1" applyFill="1" applyBorder="1" applyAlignment="1">
      <alignment vertical="center" wrapText="1"/>
    </xf>
    <xf numFmtId="0" fontId="10" fillId="0" borderId="2" xfId="0" applyFont="1" applyBorder="1" applyAlignment="1">
      <alignment wrapText="1"/>
    </xf>
    <xf numFmtId="0" fontId="13" fillId="0" borderId="2" xfId="0" applyFont="1" applyBorder="1" applyAlignment="1">
      <alignment vertical="top" wrapText="1"/>
    </xf>
    <xf numFmtId="0" fontId="29" fillId="4" borderId="3" xfId="0" applyFont="1" applyFill="1" applyBorder="1" applyAlignment="1">
      <alignment vertical="center" wrapText="1"/>
    </xf>
    <xf numFmtId="0" fontId="2" fillId="2" borderId="0" xfId="0" applyFont="1" applyFill="1" applyAlignment="1">
      <alignment horizontal="left" vertical="center"/>
    </xf>
    <xf numFmtId="0" fontId="29" fillId="5" borderId="3" xfId="0" applyNumberFormat="1" applyFont="1" applyFill="1" applyBorder="1" applyAlignment="1">
      <alignment vertical="center"/>
    </xf>
    <xf numFmtId="0" fontId="48" fillId="0" borderId="0" xfId="0" applyFont="1" applyAlignment="1">
      <alignment vertical="center" wrapText="1"/>
    </xf>
    <xf numFmtId="0" fontId="22" fillId="20" borderId="3" xfId="0" applyFont="1" applyFill="1" applyBorder="1" applyAlignment="1">
      <alignment horizontal="center" vertical="center" wrapText="1"/>
    </xf>
  </cellXfs>
  <cellStyles count="1">
    <cellStyle name="Normal" xfId="0" builtinId="0"/>
  </cellStyles>
  <dxfs count="21">
    <dxf>
      <fill>
        <patternFill patternType="solid">
          <fgColor indexed="64"/>
          <bgColor rgb="FFFFC7CE"/>
        </patternFill>
      </fill>
    </dxf>
    <dxf>
      <fill>
        <patternFill patternType="solid">
          <fgColor indexed="64"/>
          <bgColor rgb="FFFFC7CE"/>
        </patternFill>
      </fill>
    </dxf>
    <dxf>
      <font>
        <b val="0"/>
        <i/>
        <color rgb="FF808080"/>
      </font>
    </dxf>
    <dxf>
      <font>
        <b val="0"/>
        <i/>
        <color rgb="FF808080"/>
      </font>
    </dxf>
    <dxf>
      <fill>
        <patternFill>
          <bgColor rgb="FFFFF2CC"/>
        </patternFill>
      </fill>
    </dxf>
    <dxf>
      <fill>
        <patternFill>
          <bgColor rgb="FFFFF2CC"/>
        </patternFill>
      </fill>
    </dxf>
    <dxf>
      <fill>
        <patternFill>
          <bgColor rgb="FFFFC7CE"/>
        </patternFill>
      </fill>
    </dxf>
    <dxf>
      <fill>
        <patternFill>
          <bgColor rgb="FFFFF2CC"/>
        </patternFill>
      </fill>
    </dxf>
    <dxf>
      <fill>
        <patternFill>
          <bgColor rgb="FFC6EFCE"/>
        </patternFill>
      </fill>
    </dxf>
    <dxf>
      <font>
        <b/>
        <color rgb="FF9C0006"/>
      </font>
      <fill>
        <patternFill>
          <bgColor rgb="FFFFC7CE"/>
        </patternFill>
      </fill>
    </dxf>
    <dxf>
      <font>
        <b/>
        <color rgb="FF7F6000"/>
      </font>
      <fill>
        <patternFill>
          <bgColor rgb="FFFFF2CC"/>
        </patternFill>
      </fill>
    </dxf>
    <dxf>
      <font>
        <b/>
        <color rgb="FF006100"/>
      </font>
      <fill>
        <patternFill>
          <bgColor rgb="FFC6EFCE"/>
        </patternFill>
      </fill>
    </dxf>
    <dxf>
      <fill>
        <patternFill>
          <bgColor rgb="FFFFC7CE"/>
        </patternFill>
      </fill>
    </dxf>
    <dxf>
      <fill>
        <patternFill>
          <bgColor rgb="FFFFF2CC"/>
        </patternFill>
      </fill>
    </dxf>
    <dxf>
      <fill>
        <patternFill>
          <bgColor rgb="FFC6EFCE"/>
        </patternFill>
      </fill>
    </dxf>
    <dxf>
      <fill>
        <patternFill>
          <bgColor rgb="FF9C0006"/>
        </patternFill>
      </fill>
    </dxf>
    <dxf>
      <fill>
        <patternFill>
          <bgColor rgb="FFB8860B"/>
        </patternFill>
      </fill>
    </dxf>
    <dxf>
      <fill>
        <patternFill>
          <bgColor rgb="FF2E7D6B"/>
        </patternFill>
      </fill>
    </dxf>
    <dxf>
      <fill>
        <patternFill>
          <bgColor rgb="FFF2F2F2"/>
        </patternFill>
      </fill>
    </dxf>
    <dxf>
      <font>
        <b/>
        <color rgb="FF1F3864"/>
      </font>
      <fill>
        <patternFill>
          <bgColor rgb="FFDDEBF7"/>
        </patternFill>
      </fill>
    </dxf>
    <dxf>
      <font>
        <b/>
        <color rgb="FF7F6000"/>
      </font>
      <fill>
        <patternFill>
          <bgColor rgb="FFFFF2CC"/>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7F6000"/>
      <rgbColor rgb="FF800080"/>
      <rgbColor rgb="FF008080"/>
      <rgbColor rgb="FFBFBFBF"/>
      <rgbColor rgb="FF808080"/>
      <rgbColor rgb="FFF7FBF9"/>
      <rgbColor rgb="FFC7335E"/>
      <rgbColor rgb="FFFFFDE7"/>
      <rgbColor rgb="FFDDEBF7"/>
      <rgbColor rgb="FF660066"/>
      <rgbColor rgb="FFC55A11"/>
      <rgbColor rgb="FF0066CC"/>
      <rgbColor rgb="FFD9D9D9"/>
      <rgbColor rgb="FF000080"/>
      <rgbColor rgb="FFFF00FF"/>
      <rgbColor rgb="FFFFF2CC"/>
      <rgbColor rgb="FF00FFFF"/>
      <rgbColor rgb="FF800080"/>
      <rgbColor rgb="FF800000"/>
      <rgbColor rgb="FF008080"/>
      <rgbColor rgb="FF0000FF"/>
      <rgbColor rgb="FF00CCFF"/>
      <rgbColor rgb="FFDDEBE7"/>
      <rgbColor rgb="FFC6EFCE"/>
      <rgbColor rgb="FFFFEB9C"/>
      <rgbColor rgb="FFF2F2F2"/>
      <rgbColor rgb="FFFDEFEF"/>
      <rgbColor rgb="FFF0F9F0"/>
      <rgbColor rgb="FFFFC7CE"/>
      <rgbColor rgb="FF3366FF"/>
      <rgbColor rgb="FF33CCCC"/>
      <rgbColor rgb="FF99CC00"/>
      <rgbColor rgb="FFFFF8E7"/>
      <rgbColor rgb="FFB8860B"/>
      <rgbColor rgb="FFE46C0A"/>
      <rgbColor rgb="FF595959"/>
      <rgbColor rgb="FF969696"/>
      <rgbColor rgb="FF1F3864"/>
      <rgbColor rgb="FF2E7D6B"/>
      <rgbColor rgb="FF006100"/>
      <rgbColor rgb="FF333300"/>
      <rgbColor rgb="FF7B2D26"/>
      <rgbColor rgb="FFCA2B55"/>
      <rgbColor rgb="FF7030A0"/>
      <rgbColor rgb="FF424242"/>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2004840</xdr:colOff>
      <xdr:row>18</xdr:row>
      <xdr:rowOff>0</xdr:rowOff>
    </xdr:from>
    <xdr:to>
      <xdr:col>4</xdr:col>
      <xdr:colOff>446040</xdr:colOff>
      <xdr:row>24</xdr:row>
      <xdr:rowOff>52200</xdr:rowOff>
    </xdr:to>
    <xdr:pic>
      <xdr:nvPicPr>
        <xdr:cNvPr id="2" name="Picture 2" descr="IDRC-CRDI and Intellecap logos&#10;IDRC-CRDI and Intellecap logos">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4824360" y="4200480"/>
          <a:ext cx="3516120" cy="1252440"/>
        </a:xfrm>
        <a:prstGeom prst="rect">
          <a:avLst/>
        </a:prstGeom>
        <a:ln w="0">
          <a:noFill/>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3a.%20screen%20engine"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a"/>
    </sheetNames>
    <sheetDataSet>
      <sheetData sheetId="0" refreshError="1"/>
    </sheetDataSet>
  </externalBook>
</externalLink>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81B97D7-77FD-47E2-88FB-D5B33A03197C}">
  <we:reference id="WA200010725" version="1.0.0.1" store="Omex" storeType="OMEX"/>
  <we:alternateReferences>
    <we:reference id="WA200010725" version="1.0.0.1" store="WA200010725" storeType="OMEX"/>
  </we:alternateReferences>
  <we:properties>
    <we:property name="claude.fileId" value="&quot;301bb2be-8147-41a0-9a45-5e79831b18f5&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
  <sheetViews>
    <sheetView showGridLines="0" tabSelected="1" topLeftCell="A13" zoomScale="83" zoomScaleNormal="83" workbookViewId="0">
      <selection activeCell="B16" sqref="B16:F16"/>
    </sheetView>
  </sheetViews>
  <sheetFormatPr defaultColWidth="8.453125" defaultRowHeight="14.5" x14ac:dyDescent="0.35"/>
  <cols>
    <col min="1" max="1" width="4" style="3" customWidth="1"/>
    <col min="2" max="6" width="36" style="3" customWidth="1"/>
    <col min="7" max="7" width="4" style="3" customWidth="1"/>
    <col min="8" max="16384" width="8.453125" style="3"/>
  </cols>
  <sheetData>
    <row r="1" spans="1:7" ht="12" customHeight="1" x14ac:dyDescent="0.35">
      <c r="A1" s="119"/>
      <c r="B1" s="119"/>
      <c r="C1" s="119"/>
      <c r="D1" s="119"/>
      <c r="E1" s="119"/>
      <c r="F1" s="119"/>
      <c r="G1" s="119"/>
    </row>
    <row r="2" spans="1:7" ht="18" customHeight="1" x14ac:dyDescent="0.35">
      <c r="A2" s="4"/>
      <c r="B2" s="4"/>
      <c r="C2" s="4"/>
      <c r="D2" s="4"/>
      <c r="E2" s="4"/>
      <c r="F2" s="4"/>
      <c r="G2" s="4"/>
    </row>
    <row r="3" spans="1:7" ht="18" customHeight="1" x14ac:dyDescent="0.35">
      <c r="A3" s="4"/>
      <c r="B3" s="4"/>
      <c r="C3" s="4"/>
      <c r="D3" s="4"/>
      <c r="E3" s="4"/>
      <c r="F3" s="4"/>
      <c r="G3" s="4"/>
    </row>
    <row r="4" spans="1:7" ht="18" customHeight="1" x14ac:dyDescent="0.35">
      <c r="A4" s="4"/>
      <c r="B4" s="4"/>
      <c r="C4" s="4"/>
      <c r="D4" s="4"/>
      <c r="E4" s="4"/>
      <c r="F4" s="4"/>
      <c r="G4" s="4"/>
    </row>
    <row r="5" spans="1:7" ht="18" customHeight="1" x14ac:dyDescent="0.35">
      <c r="A5" s="4"/>
      <c r="B5" s="4"/>
      <c r="C5" s="4"/>
      <c r="D5" s="4"/>
      <c r="E5" s="4"/>
      <c r="F5" s="4"/>
      <c r="G5" s="4"/>
    </row>
    <row r="6" spans="1:7" ht="18" customHeight="1" x14ac:dyDescent="0.35">
      <c r="A6" s="4"/>
      <c r="B6" s="4"/>
      <c r="C6" s="4"/>
      <c r="D6" s="4"/>
      <c r="E6" s="4"/>
      <c r="F6" s="4"/>
      <c r="G6" s="4"/>
    </row>
    <row r="7" spans="1:7" ht="18" customHeight="1" x14ac:dyDescent="0.35">
      <c r="A7" s="4"/>
      <c r="B7" s="4"/>
      <c r="C7" s="4"/>
      <c r="D7" s="4"/>
      <c r="E7" s="4"/>
      <c r="F7" s="4"/>
      <c r="G7" s="4"/>
    </row>
    <row r="8" spans="1:7" ht="18" customHeight="1" x14ac:dyDescent="0.35">
      <c r="A8" s="4"/>
      <c r="B8" s="5"/>
      <c r="C8" s="4"/>
      <c r="D8" s="4"/>
      <c r="E8" s="4"/>
      <c r="F8" s="4"/>
      <c r="G8" s="4"/>
    </row>
    <row r="9" spans="1:7" ht="6" customHeight="1" x14ac:dyDescent="0.35">
      <c r="A9" s="4"/>
      <c r="B9" s="4"/>
      <c r="C9" s="4"/>
      <c r="D9" s="4"/>
      <c r="E9" s="4"/>
      <c r="F9" s="4"/>
      <c r="G9" s="4"/>
    </row>
    <row r="10" spans="1:7" ht="49.5" customHeight="1" x14ac:dyDescent="0.35">
      <c r="A10" s="4"/>
      <c r="B10" s="120" t="s">
        <v>0</v>
      </c>
      <c r="C10" s="120"/>
      <c r="D10" s="120"/>
      <c r="E10" s="120"/>
      <c r="F10" s="120"/>
      <c r="G10" s="4"/>
    </row>
    <row r="11" spans="1:7" ht="7.5" customHeight="1" x14ac:dyDescent="0.35">
      <c r="A11" s="4"/>
      <c r="B11" s="4"/>
      <c r="C11" s="4"/>
      <c r="D11" s="4"/>
      <c r="E11" s="4"/>
      <c r="F11" s="4"/>
      <c r="G11" s="4"/>
    </row>
    <row r="12" spans="1:7" ht="7.5" customHeight="1" x14ac:dyDescent="0.35">
      <c r="A12" s="4"/>
      <c r="B12" s="4"/>
      <c r="C12" s="4"/>
      <c r="D12" s="4"/>
      <c r="E12" s="4"/>
      <c r="F12" s="4"/>
      <c r="G12" s="4"/>
    </row>
    <row r="13" spans="1:7" ht="21.75" customHeight="1" x14ac:dyDescent="0.35">
      <c r="A13" s="4"/>
      <c r="B13" s="5"/>
      <c r="C13" s="4"/>
      <c r="D13" s="4"/>
      <c r="E13" s="4"/>
      <c r="F13" s="4"/>
      <c r="G13" s="4"/>
    </row>
    <row r="14" spans="1:7" ht="24" customHeight="1" x14ac:dyDescent="0.35">
      <c r="A14" s="4"/>
      <c r="B14" s="6"/>
      <c r="C14" s="6"/>
      <c r="D14" s="6"/>
      <c r="E14" s="6"/>
      <c r="F14" s="6"/>
      <c r="G14" s="4"/>
    </row>
    <row r="15" spans="1:7" ht="15" customHeight="1" x14ac:dyDescent="0.35">
      <c r="A15" s="4"/>
      <c r="B15" s="4"/>
      <c r="C15" s="4"/>
      <c r="D15" s="4"/>
      <c r="E15" s="4"/>
      <c r="F15" s="4"/>
      <c r="G15" s="4"/>
    </row>
    <row r="16" spans="1:7" ht="24" customHeight="1" x14ac:dyDescent="0.35">
      <c r="A16" s="4"/>
      <c r="B16" s="121" t="s">
        <v>1764</v>
      </c>
      <c r="C16" s="121"/>
      <c r="D16" s="121"/>
      <c r="E16" s="121"/>
      <c r="F16" s="121"/>
      <c r="G16" s="4"/>
    </row>
    <row r="17" spans="1:7" ht="19.5" customHeight="1" x14ac:dyDescent="0.35">
      <c r="A17" s="4"/>
      <c r="B17" s="122" t="s">
        <v>1765</v>
      </c>
      <c r="C17" s="118"/>
      <c r="D17" s="118"/>
      <c r="E17" s="118"/>
      <c r="F17" s="118"/>
      <c r="G17" s="4"/>
    </row>
    <row r="18" spans="1:7" ht="18" customHeight="1" x14ac:dyDescent="0.35">
      <c r="A18" s="4"/>
      <c r="B18" s="7"/>
      <c r="C18" s="4"/>
      <c r="D18" s="4"/>
      <c r="E18" s="4"/>
      <c r="F18" s="4"/>
      <c r="G18" s="4"/>
    </row>
    <row r="19" spans="1:7" ht="15.75" customHeight="1" x14ac:dyDescent="0.35">
      <c r="A19" s="4"/>
      <c r="B19" s="4"/>
      <c r="C19" s="4"/>
      <c r="D19" s="4"/>
      <c r="E19" s="4"/>
      <c r="F19" s="4"/>
      <c r="G19" s="4"/>
    </row>
    <row r="20" spans="1:7" ht="15.75" customHeight="1" x14ac:dyDescent="0.35">
      <c r="A20" s="4"/>
      <c r="B20" s="4"/>
      <c r="C20" s="4"/>
      <c r="D20" s="4"/>
      <c r="E20" s="4"/>
      <c r="F20" s="4"/>
      <c r="G20" s="4"/>
    </row>
    <row r="21" spans="1:7" ht="15.75" customHeight="1" x14ac:dyDescent="0.35">
      <c r="A21" s="4"/>
      <c r="B21" s="4"/>
      <c r="C21" s="4"/>
      <c r="D21" s="4"/>
      <c r="E21" s="4"/>
      <c r="F21" s="4"/>
      <c r="G21" s="4"/>
    </row>
    <row r="22" spans="1:7" ht="15.75" customHeight="1" x14ac:dyDescent="0.35">
      <c r="A22" s="4"/>
      <c r="B22" s="4"/>
      <c r="C22" s="4"/>
      <c r="D22" s="4"/>
      <c r="E22" s="4"/>
      <c r="F22" s="4"/>
      <c r="G22" s="4"/>
    </row>
    <row r="23" spans="1:7" ht="15.75" customHeight="1" x14ac:dyDescent="0.35">
      <c r="A23" s="4"/>
      <c r="B23" s="4"/>
      <c r="C23" s="4"/>
      <c r="D23" s="4"/>
      <c r="E23" s="4"/>
      <c r="F23" s="4"/>
      <c r="G23" s="4"/>
    </row>
    <row r="24" spans="1:7" ht="15.75" customHeight="1" x14ac:dyDescent="0.35">
      <c r="A24" s="4"/>
      <c r="B24" s="4"/>
      <c r="C24" s="4"/>
      <c r="D24" s="4"/>
      <c r="E24" s="4"/>
      <c r="F24" s="4"/>
      <c r="G24" s="4"/>
    </row>
    <row r="25" spans="1:7" ht="15.75" customHeight="1" x14ac:dyDescent="0.35">
      <c r="A25" s="4"/>
      <c r="B25" s="4"/>
      <c r="C25" s="4"/>
      <c r="D25" s="4"/>
      <c r="E25" s="4"/>
      <c r="F25" s="4"/>
      <c r="G25" s="4"/>
    </row>
    <row r="26" spans="1:7" ht="15.75" customHeight="1" x14ac:dyDescent="0.35">
      <c r="A26" s="4"/>
      <c r="B26" s="4"/>
      <c r="C26" s="4"/>
      <c r="D26" s="4"/>
      <c r="E26" s="4"/>
      <c r="F26" s="4"/>
      <c r="G26" s="4"/>
    </row>
    <row r="27" spans="1:7" ht="15.75" customHeight="1" x14ac:dyDescent="0.35">
      <c r="A27" s="4"/>
      <c r="B27" s="5"/>
      <c r="C27" s="4"/>
      <c r="D27" s="4"/>
      <c r="E27" s="4"/>
      <c r="F27" s="4"/>
      <c r="G27" s="4"/>
    </row>
    <row r="28" spans="1:7" ht="18.75" customHeight="1" x14ac:dyDescent="0.35">
      <c r="A28" s="4"/>
      <c r="B28" s="123" t="s">
        <v>1</v>
      </c>
      <c r="C28" s="123"/>
      <c r="D28" s="123"/>
      <c r="E28" s="123"/>
      <c r="F28" s="123"/>
      <c r="G28" s="4"/>
    </row>
    <row r="29" spans="1:7" ht="17.25" customHeight="1" x14ac:dyDescent="0.35">
      <c r="A29" s="4"/>
      <c r="B29" s="118" t="s">
        <v>2</v>
      </c>
      <c r="C29" s="118"/>
      <c r="D29" s="118"/>
      <c r="E29" s="118"/>
      <c r="F29" s="118"/>
      <c r="G29" s="4"/>
    </row>
    <row r="30" spans="1:7" ht="13.5" customHeight="1" x14ac:dyDescent="0.35">
      <c r="A30" s="4"/>
      <c r="B30" s="4"/>
      <c r="C30" s="4"/>
      <c r="D30" s="4"/>
      <c r="E30" s="4"/>
      <c r="F30" s="4"/>
      <c r="G30" s="4"/>
    </row>
    <row r="31" spans="1:7" ht="13.5" customHeight="1" x14ac:dyDescent="0.35">
      <c r="A31" s="4"/>
      <c r="B31" s="5"/>
      <c r="C31" s="4"/>
      <c r="D31" s="4"/>
      <c r="E31" s="4"/>
      <c r="F31" s="4"/>
      <c r="G31" s="4"/>
    </row>
    <row r="32" spans="1:7" ht="13.5" customHeight="1" x14ac:dyDescent="0.35">
      <c r="A32" s="119"/>
      <c r="B32" s="119"/>
      <c r="C32" s="119"/>
      <c r="D32" s="119"/>
      <c r="E32" s="119"/>
      <c r="F32" s="119"/>
      <c r="G32" s="119"/>
    </row>
    <row r="33" ht="12" customHeight="1" x14ac:dyDescent="0.35"/>
  </sheetData>
  <mergeCells count="7">
    <mergeCell ref="B29:F29"/>
    <mergeCell ref="A32:G32"/>
    <mergeCell ref="A1:G1"/>
    <mergeCell ref="B10:F10"/>
    <mergeCell ref="B16:F16"/>
    <mergeCell ref="B17:F17"/>
    <mergeCell ref="B28:F28"/>
  </mergeCells>
  <pageMargins left="0.7" right="0.7" top="0.75" bottom="0.75" header="0.511811023622047" footer="0.511811023622047"/>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F3864"/>
  </sheetPr>
  <dimension ref="B2:E27"/>
  <sheetViews>
    <sheetView showGridLines="0" topLeftCell="A5" zoomScale="66" zoomScaleNormal="66" workbookViewId="0">
      <selection activeCell="J23" sqref="J23"/>
    </sheetView>
  </sheetViews>
  <sheetFormatPr defaultColWidth="8.453125" defaultRowHeight="14.5" x14ac:dyDescent="0.35"/>
  <cols>
    <col min="1" max="1" width="3" style="3" customWidth="1"/>
    <col min="2" max="2" width="46.36328125" style="3" customWidth="1"/>
    <col min="3" max="3" width="50.6328125" style="3" customWidth="1"/>
    <col min="4" max="4" width="55" style="3" customWidth="1"/>
    <col min="5" max="5" width="45" style="3" customWidth="1"/>
    <col min="6" max="16384" width="8.453125" style="3"/>
  </cols>
  <sheetData>
    <row r="2" spans="2:5" ht="27.75" customHeight="1" x14ac:dyDescent="0.35">
      <c r="B2" s="116" t="s">
        <v>0</v>
      </c>
      <c r="C2" s="116"/>
      <c r="D2" s="116"/>
      <c r="E2" s="116"/>
    </row>
    <row r="4" spans="2:5" ht="14.25" customHeight="1" thickBot="1" x14ac:dyDescent="0.4">
      <c r="B4" s="23" t="s">
        <v>3</v>
      </c>
    </row>
    <row r="5" spans="2:5" ht="69" customHeight="1" thickBot="1" x14ac:dyDescent="0.4">
      <c r="B5" s="132" t="s">
        <v>1647</v>
      </c>
      <c r="C5" s="133"/>
      <c r="D5" s="133"/>
      <c r="E5" s="134"/>
    </row>
    <row r="7" spans="2:5" ht="14.25" customHeight="1" thickBot="1" x14ac:dyDescent="0.4">
      <c r="B7" s="23" t="s">
        <v>1135</v>
      </c>
    </row>
    <row r="8" spans="2:5" ht="15" customHeight="1" x14ac:dyDescent="0.35">
      <c r="B8" s="13" t="s">
        <v>4</v>
      </c>
      <c r="C8" s="14" t="s">
        <v>5</v>
      </c>
      <c r="D8" s="130" t="s">
        <v>6</v>
      </c>
      <c r="E8" s="131"/>
    </row>
    <row r="9" spans="2:5" ht="27" customHeight="1" x14ac:dyDescent="0.35">
      <c r="B9" s="15" t="s">
        <v>7</v>
      </c>
      <c r="C9" s="10" t="s">
        <v>1260</v>
      </c>
      <c r="D9" s="124" t="s">
        <v>1767</v>
      </c>
      <c r="E9" s="125"/>
    </row>
    <row r="10" spans="2:5" ht="50" customHeight="1" x14ac:dyDescent="0.35">
      <c r="B10" s="15" t="s">
        <v>8</v>
      </c>
      <c r="C10" s="10" t="s">
        <v>9</v>
      </c>
      <c r="D10" s="124" t="s">
        <v>1648</v>
      </c>
      <c r="E10" s="125"/>
    </row>
    <row r="11" spans="2:5" ht="53.5" customHeight="1" x14ac:dyDescent="0.35">
      <c r="B11" s="15" t="s">
        <v>10</v>
      </c>
      <c r="C11" s="10" t="s">
        <v>11</v>
      </c>
      <c r="D11" s="124" t="s">
        <v>1768</v>
      </c>
      <c r="E11" s="125"/>
    </row>
    <row r="12" spans="2:5" ht="45" customHeight="1" x14ac:dyDescent="0.35">
      <c r="B12" s="15" t="s">
        <v>12</v>
      </c>
      <c r="C12" s="10" t="s">
        <v>13</v>
      </c>
      <c r="D12" s="124" t="s">
        <v>1769</v>
      </c>
      <c r="E12" s="125"/>
    </row>
    <row r="13" spans="2:5" ht="40" customHeight="1" x14ac:dyDescent="0.35">
      <c r="B13" s="15" t="s">
        <v>14</v>
      </c>
      <c r="C13" s="10" t="s">
        <v>15</v>
      </c>
      <c r="D13" s="124" t="s">
        <v>1770</v>
      </c>
      <c r="E13" s="125"/>
    </row>
    <row r="14" spans="2:5" ht="33.5" customHeight="1" x14ac:dyDescent="0.35">
      <c r="B14" s="15" t="s">
        <v>16</v>
      </c>
      <c r="C14" s="10" t="s">
        <v>17</v>
      </c>
      <c r="D14" s="124" t="s">
        <v>1771</v>
      </c>
      <c r="E14" s="125"/>
    </row>
    <row r="15" spans="2:5" ht="80.5" customHeight="1" thickBot="1" x14ac:dyDescent="0.4">
      <c r="B15" s="16" t="s">
        <v>18</v>
      </c>
      <c r="C15" s="17" t="s">
        <v>19</v>
      </c>
      <c r="D15" s="126" t="s">
        <v>1772</v>
      </c>
      <c r="E15" s="127"/>
    </row>
    <row r="16" spans="2:5" s="112" customFormat="1" ht="17" customHeight="1" x14ac:dyDescent="0.35">
      <c r="B16" s="113"/>
      <c r="C16" s="114"/>
      <c r="D16" s="115"/>
      <c r="E16" s="115"/>
    </row>
    <row r="17" spans="2:5" ht="14.25" customHeight="1" thickBot="1" x14ac:dyDescent="0.4">
      <c r="B17" s="23" t="s">
        <v>20</v>
      </c>
    </row>
    <row r="18" spans="2:5" ht="15" customHeight="1" x14ac:dyDescent="0.35">
      <c r="B18" s="13" t="s">
        <v>21</v>
      </c>
      <c r="C18" s="130" t="s">
        <v>1136</v>
      </c>
      <c r="D18" s="130"/>
      <c r="E18" s="131"/>
    </row>
    <row r="19" spans="2:5" ht="33" customHeight="1" x14ac:dyDescent="0.35">
      <c r="B19" s="18" t="s">
        <v>22</v>
      </c>
      <c r="C19" s="124" t="s">
        <v>1551</v>
      </c>
      <c r="D19" s="124"/>
      <c r="E19" s="125"/>
    </row>
    <row r="20" spans="2:5" ht="38" customHeight="1" x14ac:dyDescent="0.35">
      <c r="B20" s="18" t="s">
        <v>23</v>
      </c>
      <c r="C20" s="124" t="s">
        <v>1252</v>
      </c>
      <c r="D20" s="124"/>
      <c r="E20" s="125"/>
    </row>
    <row r="21" spans="2:5" ht="33" customHeight="1" x14ac:dyDescent="0.35">
      <c r="B21" s="18" t="s">
        <v>24</v>
      </c>
      <c r="C21" s="124" t="s">
        <v>1649</v>
      </c>
      <c r="D21" s="124"/>
      <c r="E21" s="125"/>
    </row>
    <row r="22" spans="2:5" ht="18" customHeight="1" thickBot="1" x14ac:dyDescent="0.4">
      <c r="B22" s="19" t="s">
        <v>25</v>
      </c>
      <c r="C22" s="126" t="s">
        <v>1253</v>
      </c>
      <c r="D22" s="126"/>
      <c r="E22" s="127"/>
    </row>
    <row r="24" spans="2:5" ht="14.25" customHeight="1" thickBot="1" x14ac:dyDescent="0.4">
      <c r="B24" s="8" t="s">
        <v>26</v>
      </c>
    </row>
    <row r="25" spans="2:5" ht="30" customHeight="1" x14ac:dyDescent="0.35">
      <c r="B25" s="20" t="s">
        <v>27</v>
      </c>
      <c r="C25" s="128" t="s">
        <v>1650</v>
      </c>
      <c r="D25" s="128"/>
      <c r="E25" s="129"/>
    </row>
    <row r="26" spans="2:5" ht="32.25" customHeight="1" x14ac:dyDescent="0.35">
      <c r="B26" s="21" t="s">
        <v>28</v>
      </c>
      <c r="C26" s="124" t="s">
        <v>1651</v>
      </c>
      <c r="D26" s="124"/>
      <c r="E26" s="125"/>
    </row>
    <row r="27" spans="2:5" ht="28.5" customHeight="1" thickBot="1" x14ac:dyDescent="0.4">
      <c r="B27" s="22" t="s">
        <v>29</v>
      </c>
      <c r="C27" s="126" t="s">
        <v>1254</v>
      </c>
      <c r="D27" s="126"/>
      <c r="E27" s="127"/>
    </row>
  </sheetData>
  <mergeCells count="18">
    <mergeCell ref="B2:E2"/>
    <mergeCell ref="B5:E5"/>
    <mergeCell ref="D8:E8"/>
    <mergeCell ref="D9:E9"/>
    <mergeCell ref="D10:E10"/>
    <mergeCell ref="D11:E11"/>
    <mergeCell ref="D12:E12"/>
    <mergeCell ref="D13:E13"/>
    <mergeCell ref="D14:E14"/>
    <mergeCell ref="C18:E18"/>
    <mergeCell ref="C26:E26"/>
    <mergeCell ref="C27:E27"/>
    <mergeCell ref="D15:E15"/>
    <mergeCell ref="C19:E19"/>
    <mergeCell ref="C20:E20"/>
    <mergeCell ref="C21:E21"/>
    <mergeCell ref="C22:E22"/>
    <mergeCell ref="C25:E25"/>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E7D6B"/>
  </sheetPr>
  <dimension ref="B2:G20"/>
  <sheetViews>
    <sheetView showGridLines="0" zoomScale="74" zoomScaleNormal="74" workbookViewId="0">
      <pane xSplit="2" ySplit="5" topLeftCell="C10" activePane="bottomRight" state="frozen"/>
      <selection pane="topRight" activeCell="C1" sqref="C1"/>
      <selection pane="bottomLeft" activeCell="A19" sqref="A19"/>
      <selection pane="bottomRight" activeCell="D11" sqref="D11"/>
    </sheetView>
  </sheetViews>
  <sheetFormatPr defaultColWidth="8.453125" defaultRowHeight="14.5" x14ac:dyDescent="0.35"/>
  <cols>
    <col min="1" max="1" width="2" style="24" customWidth="1"/>
    <col min="2" max="2" width="23.36328125" style="24" customWidth="1"/>
    <col min="3" max="7" width="38" style="24" customWidth="1"/>
    <col min="8" max="16384" width="8.453125" style="24"/>
  </cols>
  <sheetData>
    <row r="2" spans="2:7" ht="25.5" customHeight="1" x14ac:dyDescent="0.35">
      <c r="B2" s="116" t="s">
        <v>1473</v>
      </c>
      <c r="C2" s="116"/>
      <c r="D2" s="116"/>
      <c r="E2" s="116"/>
      <c r="F2" s="116"/>
      <c r="G2" s="116"/>
    </row>
    <row r="3" spans="2:7" ht="30" customHeight="1" x14ac:dyDescent="0.35">
      <c r="B3" s="117" t="s">
        <v>1766</v>
      </c>
      <c r="C3" s="117"/>
      <c r="D3" s="117"/>
      <c r="E3" s="117"/>
      <c r="F3" s="117"/>
      <c r="G3" s="117"/>
    </row>
    <row r="5" spans="2:7" ht="30" customHeight="1" x14ac:dyDescent="0.35">
      <c r="B5" s="29" t="s">
        <v>30</v>
      </c>
      <c r="C5" s="30" t="s">
        <v>31</v>
      </c>
      <c r="D5" s="30" t="s">
        <v>32</v>
      </c>
      <c r="E5" s="30" t="s">
        <v>33</v>
      </c>
      <c r="F5" s="30" t="s">
        <v>1137</v>
      </c>
      <c r="G5" s="30" t="s">
        <v>34</v>
      </c>
    </row>
    <row r="6" spans="2:7" ht="142.5" customHeight="1" x14ac:dyDescent="0.35">
      <c r="B6" s="25" t="s">
        <v>35</v>
      </c>
      <c r="C6" s="26" t="s">
        <v>1552</v>
      </c>
      <c r="D6" s="26" t="s">
        <v>1447</v>
      </c>
      <c r="E6" s="26" t="s">
        <v>1255</v>
      </c>
      <c r="F6" s="26" t="s">
        <v>1652</v>
      </c>
      <c r="G6" s="26" t="s">
        <v>1661</v>
      </c>
    </row>
    <row r="7" spans="2:7" ht="213" customHeight="1" x14ac:dyDescent="0.35">
      <c r="B7" s="27" t="s">
        <v>1138</v>
      </c>
      <c r="C7" s="28" t="s">
        <v>1553</v>
      </c>
      <c r="D7" s="28" t="s">
        <v>1554</v>
      </c>
      <c r="E7" s="28" t="s">
        <v>1555</v>
      </c>
      <c r="F7" s="28" t="s">
        <v>1556</v>
      </c>
      <c r="G7" s="28" t="s">
        <v>1257</v>
      </c>
    </row>
    <row r="8" spans="2:7" ht="109.5" customHeight="1" x14ac:dyDescent="0.35">
      <c r="B8" s="27" t="s">
        <v>1139</v>
      </c>
      <c r="C8" s="28" t="s">
        <v>1557</v>
      </c>
      <c r="D8" s="28" t="s">
        <v>1558</v>
      </c>
      <c r="E8" s="28" t="s">
        <v>1559</v>
      </c>
      <c r="F8" s="28" t="s">
        <v>1261</v>
      </c>
      <c r="G8" s="28" t="s">
        <v>1258</v>
      </c>
    </row>
    <row r="9" spans="2:7" ht="129" customHeight="1" x14ac:dyDescent="0.35">
      <c r="B9" s="27" t="s">
        <v>36</v>
      </c>
      <c r="C9" s="28" t="s">
        <v>1653</v>
      </c>
      <c r="D9" s="28" t="s">
        <v>1654</v>
      </c>
      <c r="E9" s="28" t="s">
        <v>1655</v>
      </c>
      <c r="F9" s="28" t="s">
        <v>1656</v>
      </c>
      <c r="G9" s="28" t="s">
        <v>1560</v>
      </c>
    </row>
    <row r="10" spans="2:7" ht="100.5" customHeight="1" x14ac:dyDescent="0.35">
      <c r="B10" s="27" t="s">
        <v>37</v>
      </c>
      <c r="C10" s="28" t="s">
        <v>1561</v>
      </c>
      <c r="D10" s="28" t="s">
        <v>1562</v>
      </c>
      <c r="E10" s="28" t="s">
        <v>1259</v>
      </c>
      <c r="F10" s="28" t="s">
        <v>1657</v>
      </c>
      <c r="G10" s="28" t="s">
        <v>1563</v>
      </c>
    </row>
    <row r="11" spans="2:7" ht="133.5" customHeight="1" x14ac:dyDescent="0.35">
      <c r="B11" s="27" t="s">
        <v>38</v>
      </c>
      <c r="C11" s="28" t="s">
        <v>1140</v>
      </c>
      <c r="D11" s="28" t="s">
        <v>1141</v>
      </c>
      <c r="E11" s="28" t="s">
        <v>1564</v>
      </c>
      <c r="F11" s="28" t="s">
        <v>1262</v>
      </c>
      <c r="G11" s="28" t="s">
        <v>1142</v>
      </c>
    </row>
    <row r="12" spans="2:7" ht="99.75" customHeight="1" x14ac:dyDescent="0.35">
      <c r="B12" s="27" t="s">
        <v>39</v>
      </c>
      <c r="C12" s="28" t="s">
        <v>1263</v>
      </c>
      <c r="D12" s="28" t="s">
        <v>1448</v>
      </c>
      <c r="E12" s="28" t="s">
        <v>1143</v>
      </c>
      <c r="F12" s="28" t="s">
        <v>1264</v>
      </c>
      <c r="G12" s="28" t="s">
        <v>1265</v>
      </c>
    </row>
    <row r="13" spans="2:7" ht="87" customHeight="1" x14ac:dyDescent="0.35">
      <c r="B13" s="27" t="s">
        <v>40</v>
      </c>
      <c r="C13" s="28" t="s">
        <v>1266</v>
      </c>
      <c r="D13" s="28" t="s">
        <v>1144</v>
      </c>
      <c r="E13" s="28" t="s">
        <v>1267</v>
      </c>
      <c r="F13" s="28" t="s">
        <v>1268</v>
      </c>
      <c r="G13" s="28" t="s">
        <v>1269</v>
      </c>
    </row>
    <row r="14" spans="2:7" ht="108" customHeight="1" x14ac:dyDescent="0.35">
      <c r="B14" s="27" t="s">
        <v>41</v>
      </c>
      <c r="C14" s="28" t="s">
        <v>1270</v>
      </c>
      <c r="D14" s="28" t="s">
        <v>1565</v>
      </c>
      <c r="E14" s="28" t="s">
        <v>1145</v>
      </c>
      <c r="F14" s="28" t="s">
        <v>1271</v>
      </c>
      <c r="G14" s="28" t="s">
        <v>1272</v>
      </c>
    </row>
    <row r="15" spans="2:7" ht="105" customHeight="1" x14ac:dyDescent="0.35">
      <c r="B15" s="27" t="s">
        <v>42</v>
      </c>
      <c r="C15" s="28" t="s">
        <v>1566</v>
      </c>
      <c r="D15" s="28" t="s">
        <v>1146</v>
      </c>
      <c r="E15" s="28" t="s">
        <v>1147</v>
      </c>
      <c r="F15" s="28" t="s">
        <v>1567</v>
      </c>
      <c r="G15" s="28" t="s">
        <v>1273</v>
      </c>
    </row>
    <row r="16" spans="2:7" ht="211.5" customHeight="1" x14ac:dyDescent="0.35">
      <c r="B16" s="27" t="s">
        <v>43</v>
      </c>
      <c r="C16" s="28" t="s">
        <v>1568</v>
      </c>
      <c r="D16" s="28" t="s">
        <v>1449</v>
      </c>
      <c r="E16" s="28" t="s">
        <v>1274</v>
      </c>
      <c r="F16" s="28" t="s">
        <v>1275</v>
      </c>
      <c r="G16" s="28" t="s">
        <v>1276</v>
      </c>
    </row>
    <row r="17" spans="2:7" ht="107.25" customHeight="1" x14ac:dyDescent="0.35">
      <c r="B17" s="27" t="s">
        <v>44</v>
      </c>
      <c r="C17" s="28" t="s">
        <v>1148</v>
      </c>
      <c r="D17" s="28" t="s">
        <v>1450</v>
      </c>
      <c r="E17" s="28" t="s">
        <v>1149</v>
      </c>
      <c r="F17" s="28" t="s">
        <v>1569</v>
      </c>
      <c r="G17" s="28" t="s">
        <v>1150</v>
      </c>
    </row>
    <row r="18" spans="2:7" ht="115.5" customHeight="1" x14ac:dyDescent="0.35">
      <c r="B18" s="27" t="s">
        <v>45</v>
      </c>
      <c r="C18" s="28" t="s">
        <v>1570</v>
      </c>
      <c r="D18" s="28" t="s">
        <v>1571</v>
      </c>
      <c r="E18" s="28" t="s">
        <v>1151</v>
      </c>
      <c r="F18" s="28" t="s">
        <v>1658</v>
      </c>
      <c r="G18" s="28" t="s">
        <v>1451</v>
      </c>
    </row>
    <row r="19" spans="2:7" ht="99.75" customHeight="1" x14ac:dyDescent="0.35">
      <c r="B19" s="27" t="s">
        <v>46</v>
      </c>
      <c r="C19" s="28" t="s">
        <v>1152</v>
      </c>
      <c r="D19" s="28" t="s">
        <v>1452</v>
      </c>
      <c r="E19" s="28" t="s">
        <v>1153</v>
      </c>
      <c r="F19" s="28" t="s">
        <v>1277</v>
      </c>
      <c r="G19" s="28" t="s">
        <v>1278</v>
      </c>
    </row>
    <row r="20" spans="2:7" ht="116.25" customHeight="1" x14ac:dyDescent="0.35">
      <c r="B20" s="27" t="s">
        <v>47</v>
      </c>
      <c r="C20" s="28" t="s">
        <v>1279</v>
      </c>
      <c r="D20" s="28" t="s">
        <v>1453</v>
      </c>
      <c r="E20" s="28" t="s">
        <v>1659</v>
      </c>
      <c r="F20" s="28" t="s">
        <v>1280</v>
      </c>
      <c r="G20" s="28" t="s">
        <v>1660</v>
      </c>
    </row>
  </sheetData>
  <mergeCells count="2">
    <mergeCell ref="B2:G2"/>
    <mergeCell ref="B3:G3"/>
  </mergeCell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55A11"/>
  </sheetPr>
  <dimension ref="B2:F40"/>
  <sheetViews>
    <sheetView showGridLines="0" topLeftCell="A27" zoomScale="70" zoomScaleNormal="70" workbookViewId="0">
      <selection activeCell="D24" sqref="D24"/>
    </sheetView>
  </sheetViews>
  <sheetFormatPr defaultColWidth="6" defaultRowHeight="14.5" x14ac:dyDescent="0.35"/>
  <cols>
    <col min="1" max="1" width="2" style="3" customWidth="1"/>
    <col min="2" max="2" width="6" style="3"/>
    <col min="3" max="3" width="78" style="3" customWidth="1"/>
    <col min="4" max="4" width="14" style="3" customWidth="1"/>
    <col min="5" max="5" width="40" style="3" customWidth="1"/>
    <col min="6" max="16384" width="6" style="3"/>
  </cols>
  <sheetData>
    <row r="2" spans="2:6" ht="25.5" customHeight="1" x14ac:dyDescent="0.35">
      <c r="B2" s="145" t="s">
        <v>1154</v>
      </c>
      <c r="C2" s="145"/>
      <c r="D2" s="145"/>
      <c r="E2" s="145"/>
    </row>
    <row r="3" spans="2:6" ht="96" customHeight="1" x14ac:dyDescent="0.35">
      <c r="B3" s="146" t="s">
        <v>1662</v>
      </c>
      <c r="C3" s="146"/>
      <c r="D3" s="146"/>
      <c r="E3" s="146"/>
    </row>
    <row r="5" spans="2:6" ht="14.25" customHeight="1" x14ac:dyDescent="0.35">
      <c r="B5" s="31"/>
      <c r="C5" s="32" t="s">
        <v>48</v>
      </c>
      <c r="D5" s="147" t="s">
        <v>49</v>
      </c>
      <c r="E5" s="147"/>
    </row>
    <row r="6" spans="2:6" ht="18" customHeight="1" x14ac:dyDescent="0.35">
      <c r="B6" s="142" t="s">
        <v>1155</v>
      </c>
      <c r="C6" s="142"/>
      <c r="D6" s="142"/>
      <c r="E6" s="142"/>
    </row>
    <row r="7" spans="2:6" ht="24" customHeight="1" x14ac:dyDescent="0.35">
      <c r="B7" s="9" t="s">
        <v>50</v>
      </c>
      <c r="C7" s="9" t="s">
        <v>1156</v>
      </c>
      <c r="D7" s="9" t="s">
        <v>51</v>
      </c>
      <c r="E7" s="9" t="s">
        <v>52</v>
      </c>
    </row>
    <row r="8" spans="2:6" ht="54" customHeight="1" x14ac:dyDescent="0.35">
      <c r="B8" s="12" t="s">
        <v>53</v>
      </c>
      <c r="C8" s="33" t="s">
        <v>1572</v>
      </c>
      <c r="D8" s="211" t="s">
        <v>1477</v>
      </c>
      <c r="E8" s="34" t="s">
        <v>54</v>
      </c>
    </row>
    <row r="9" spans="2:6" ht="72" customHeight="1" x14ac:dyDescent="0.35">
      <c r="B9" s="12" t="s">
        <v>55</v>
      </c>
      <c r="C9" s="33" t="s">
        <v>1474</v>
      </c>
      <c r="D9" s="211" t="s">
        <v>1477</v>
      </c>
      <c r="E9" s="34" t="s">
        <v>56</v>
      </c>
    </row>
    <row r="10" spans="2:6" ht="60" customHeight="1" x14ac:dyDescent="0.35">
      <c r="B10" s="12" t="s">
        <v>57</v>
      </c>
      <c r="C10" s="33" t="s">
        <v>1663</v>
      </c>
      <c r="D10" s="211" t="s">
        <v>1477</v>
      </c>
      <c r="E10" s="34" t="s">
        <v>58</v>
      </c>
    </row>
    <row r="11" spans="2:6" ht="43.5" customHeight="1" x14ac:dyDescent="0.35">
      <c r="B11" s="12" t="s">
        <v>59</v>
      </c>
      <c r="C11" s="11" t="s">
        <v>1256</v>
      </c>
      <c r="D11" s="211" t="s">
        <v>1477</v>
      </c>
      <c r="E11" s="34" t="s">
        <v>60</v>
      </c>
    </row>
    <row r="12" spans="2:6" ht="43.5" customHeight="1" x14ac:dyDescent="0.35">
      <c r="B12" s="12" t="s">
        <v>61</v>
      </c>
      <c r="C12" s="11" t="s">
        <v>1573</v>
      </c>
      <c r="D12" s="211" t="s">
        <v>1477</v>
      </c>
      <c r="E12" s="34" t="s">
        <v>62</v>
      </c>
    </row>
    <row r="14" spans="2:6" ht="39.75" customHeight="1" x14ac:dyDescent="0.35">
      <c r="B14" s="143" t="s">
        <v>1157</v>
      </c>
      <c r="C14" s="143"/>
      <c r="D14" s="144" t="str">
        <f>IF(D8="Yes","ARCHETYPE 01: THE PRODUCT SELLER",IF(D9="Yes","ARCHETYPE 02: THE ACCESS PROVIDER",IF(D10="Yes","ARCHETYPE 03: THE NETWORK DISTRIBUTOR",IF(D11="Yes","ARCHETYPE 04: THE CARBON INTEGRATED MODEL",IF(D12="Yes","ARCHETYPE 05: THE INFRASTRUCTURE UTILITY",IF(COUNTIF(D8:D12,"Yes")+COUNTIF(D8:D12,"No")&lt;5,"Answer the five questions above to identify the archetype","No archetype identified. The enterprise may be a hybrid: apply the primary value-capture test in the Hybrid models note below"))))))</f>
        <v>Answer the five questions above to identify the archetype</v>
      </c>
      <c r="E14" s="144"/>
    </row>
    <row r="15" spans="2:6" ht="25.5" customHeight="1" x14ac:dyDescent="0.35">
      <c r="D15" s="141" t="str">
        <f>IF(COUNTIF(D8:D12,"Yes")&gt;1,"Note: more than one Yes selected. The tool uses the FIRST Yes in the sequence. Check the Hybrid models note below; if the primary archetype is different, set it through Manual override on Sheet A.","")</f>
        <v/>
      </c>
      <c r="E15" s="141"/>
    </row>
    <row r="16" spans="2:6" ht="14.25" customHeight="1" x14ac:dyDescent="0.35">
      <c r="B16" s="36"/>
      <c r="C16" s="36"/>
      <c r="D16" s="36"/>
      <c r="E16" s="36"/>
      <c r="F16" s="36"/>
    </row>
    <row r="17" spans="2:6" ht="18" customHeight="1" x14ac:dyDescent="0.35">
      <c r="B17" s="142" t="s">
        <v>1158</v>
      </c>
      <c r="C17" s="142"/>
      <c r="D17" s="142"/>
      <c r="E17" s="142"/>
      <c r="F17" s="36"/>
    </row>
    <row r="18" spans="2:6" ht="104" customHeight="1" x14ac:dyDescent="0.35">
      <c r="B18" s="136" t="s">
        <v>1574</v>
      </c>
      <c r="C18" s="136"/>
      <c r="D18" s="136"/>
      <c r="E18" s="136"/>
      <c r="F18" s="36"/>
    </row>
    <row r="19" spans="2:6" ht="24" customHeight="1" x14ac:dyDescent="0.35">
      <c r="B19" s="37" t="s">
        <v>63</v>
      </c>
      <c r="C19" s="9" t="s">
        <v>1159</v>
      </c>
      <c r="D19" s="37" t="s">
        <v>51</v>
      </c>
      <c r="E19" s="37" t="s">
        <v>1160</v>
      </c>
      <c r="F19" s="37" t="s">
        <v>64</v>
      </c>
    </row>
    <row r="20" spans="2:6" ht="51.75" customHeight="1" x14ac:dyDescent="0.35">
      <c r="B20" s="38" t="s">
        <v>65</v>
      </c>
      <c r="C20" s="11" t="s">
        <v>1476</v>
      </c>
      <c r="D20" s="39" t="s">
        <v>1477</v>
      </c>
      <c r="E20" s="40" t="str">
        <f>IF(OR($D$20="",$D$20="Select an answer"),"",IF(ISNUMBER(SEARCH("ARCHETYPE 05",$D$14)),IF(OR($D$20="Pre-revenue",$D$20="&lt;US$500K",$D$20="US$500K-US$1M"),"Early Stage",IF(OR($D$20="US$1M-US$5M",$D$20="US$5M-US$10M"),"Growth Stage","Scale")),IF(OR($D$20="Pre-revenue",$D$20="&lt;US$500K"),"Early Stage",IF(OR($D$20="US$500K-US$1M",$D$20="US$1M-US$5M"),"Growth Stage","Scale"))))</f>
        <v/>
      </c>
      <c r="F20" s="41" t="str">
        <f>IF($E20="Early Stage",1,IF($E20="Growth Stage",2,IF($E20="Scale",3,"")))</f>
        <v/>
      </c>
    </row>
    <row r="21" spans="2:6" ht="51.75" customHeight="1" x14ac:dyDescent="0.35">
      <c r="B21" s="38" t="s">
        <v>66</v>
      </c>
      <c r="C21" s="11" t="s">
        <v>1161</v>
      </c>
      <c r="D21" s="39" t="s">
        <v>1477</v>
      </c>
      <c r="E21" s="40" t="str">
        <f>IF(OR($D$21="",$D$21="Select an answer"),"",IF($D$21="We are piloting and not yet selling commercially","Early Stage",IF($D$21="We sell commercially in one market","Growth Stage","Scale")))</f>
        <v/>
      </c>
      <c r="F21" s="41" t="str">
        <f>IF($E21="Early Stage",1,IF($E21="Growth Stage",2,IF($E21="Scale",3,"")))</f>
        <v/>
      </c>
    </row>
    <row r="22" spans="2:6" ht="51.75" customHeight="1" x14ac:dyDescent="0.35">
      <c r="B22" s="38" t="s">
        <v>67</v>
      </c>
      <c r="C22" s="11" t="s">
        <v>1575</v>
      </c>
      <c r="D22" s="39" t="s">
        <v>1477</v>
      </c>
      <c r="E22" s="40" t="str">
        <f>IF(OR($D$22="",$D$22="Select an answer"),"",IF($D$22="A plan and pilot evidence only","Early Stage",IF($D$22="At least 12 months of operating or cohort data","Growth Stage","Scale")))</f>
        <v/>
      </c>
      <c r="F22" s="41" t="str">
        <f>IF($E22="Early Stage",1,IF($E22="Growth Stage",2,IF($E22="Scale",3,"")))</f>
        <v/>
      </c>
    </row>
    <row r="23" spans="2:6" ht="51.75" customHeight="1" x14ac:dyDescent="0.35">
      <c r="B23" s="38" t="s">
        <v>68</v>
      </c>
      <c r="C23" s="11" t="s">
        <v>1162</v>
      </c>
      <c r="D23" s="39" t="s">
        <v>1477</v>
      </c>
      <c r="E23" s="40" t="str">
        <f>IF(OR($D$23="",$D$23="Select an answer"),"",IF($D$23="Grants and founder or angel capital only","Early Stage",IF($D$23="One institutional round or facility","Growth Stage","Scale")))</f>
        <v/>
      </c>
      <c r="F23" s="41" t="str">
        <f>IF($E23="Early Stage",1,IF($E23="Growth Stage",2,IF($E23="Scale",3,"")))</f>
        <v/>
      </c>
    </row>
    <row r="24" spans="2:6" ht="51.75" customHeight="1" x14ac:dyDescent="0.35">
      <c r="B24" s="38" t="s">
        <v>69</v>
      </c>
      <c r="C24" s="11" t="s">
        <v>1163</v>
      </c>
      <c r="D24" s="39" t="s">
        <v>1477</v>
      </c>
      <c r="E24" s="40" t="str">
        <f>IF(OR($D$24="",$D$24="Select an answer"),"",IF($D$24="It runs on the founder(s) day to day","Early Stage",IF($D$24="A functional management team runs it","Growth Stage","Scale")))</f>
        <v/>
      </c>
      <c r="F24" s="41" t="str">
        <f>IF($E24="Early Stage",1,IF($E24="Growth Stage",2,IF($E24="Scale",3,"")))</f>
        <v/>
      </c>
    </row>
    <row r="25" spans="2:6" ht="14.25" customHeight="1" x14ac:dyDescent="0.35">
      <c r="B25" s="36"/>
      <c r="C25" s="36"/>
      <c r="D25" s="36"/>
      <c r="E25" s="36"/>
      <c r="F25" s="36"/>
    </row>
    <row r="26" spans="2:6" ht="25.5" customHeight="1" x14ac:dyDescent="0.35">
      <c r="B26" s="36"/>
      <c r="C26" s="42" t="s">
        <v>1475</v>
      </c>
      <c r="D26" s="36"/>
      <c r="E26" s="36"/>
      <c r="F26" s="43" t="str">
        <f>IF(COUNT($F$20:$F$24)&lt;5,"",($F$20*2+SUM($F$21:$F$24))/6)</f>
        <v/>
      </c>
    </row>
    <row r="27" spans="2:6" ht="39.75" customHeight="1" x14ac:dyDescent="0.35">
      <c r="B27" s="143" t="s">
        <v>1164</v>
      </c>
      <c r="C27" s="143"/>
      <c r="D27" s="144" t="str">
        <f>IF($F$26="","Answer the five questions above to generate a stage",IF($F$26&lt;=1.6,"Early Stage",IF($F$26&lt;=2.4,"Growth Stage","Scale")))</f>
        <v>Answer the five questions above to generate a stage</v>
      </c>
      <c r="E27" s="144"/>
      <c r="F27" s="36"/>
    </row>
    <row r="28" spans="2:6" ht="39.75" customHeight="1" x14ac:dyDescent="0.35">
      <c r="B28" s="36"/>
      <c r="C28" s="36"/>
      <c r="D28" s="138" t="str">
        <f>IF(OR($F$26="",$E$20=""),"",IF(EXACT($D$27,$E$20),"","Note: the revenue band shows "&amp;$E$20&amp;" but the weighted score shows "&amp;$D$27&amp;", so this is a transitional profile. Use the more conservative of the two in Tool 01B and look closely at the answers that disagree; that is usually where the risk sits."))</f>
        <v/>
      </c>
      <c r="E28" s="138"/>
      <c r="F28" s="36"/>
    </row>
    <row r="29" spans="2:6" ht="14.25" customHeight="1" x14ac:dyDescent="0.35">
      <c r="B29" s="36"/>
      <c r="C29" s="36"/>
      <c r="D29" s="36"/>
      <c r="E29" s="36"/>
      <c r="F29" s="36"/>
    </row>
    <row r="30" spans="2:6" ht="45" customHeight="1" x14ac:dyDescent="0.35">
      <c r="B30" s="139" t="s">
        <v>1576</v>
      </c>
      <c r="C30" s="139"/>
      <c r="D30" s="140" t="str">
        <f>IF(OR(LEFT($D$14,9)&lt;&gt;"ARCHETYPE",$F$26=""),"Complete Part A and Part B to generate the combined result",$D$14&amp;", "&amp;UPPER($D$27))</f>
        <v>Complete Part A and Part B to generate the combined result</v>
      </c>
      <c r="E30" s="140"/>
      <c r="F30" s="36"/>
    </row>
    <row r="31" spans="2:6" ht="14.25" customHeight="1" x14ac:dyDescent="0.35">
      <c r="B31" s="36"/>
      <c r="C31" s="36"/>
      <c r="D31" s="36"/>
      <c r="E31" s="36"/>
      <c r="F31" s="36"/>
    </row>
    <row r="32" spans="2:6" ht="15" customHeight="1" x14ac:dyDescent="0.35">
      <c r="B32" s="135" t="s">
        <v>70</v>
      </c>
      <c r="C32" s="135"/>
      <c r="D32" s="135"/>
      <c r="E32" s="135"/>
      <c r="F32" s="36"/>
    </row>
    <row r="33" spans="2:6" ht="68" customHeight="1" x14ac:dyDescent="0.35">
      <c r="B33" s="136" t="s">
        <v>1478</v>
      </c>
      <c r="C33" s="136"/>
      <c r="D33" s="136"/>
      <c r="E33" s="136"/>
      <c r="F33" s="36"/>
    </row>
    <row r="34" spans="2:6" ht="14.25" customHeight="1" x14ac:dyDescent="0.35">
      <c r="B34" s="36"/>
      <c r="C34" s="36"/>
      <c r="D34" s="36"/>
      <c r="E34" s="36"/>
      <c r="F34" s="36"/>
    </row>
    <row r="35" spans="2:6" ht="15" customHeight="1" x14ac:dyDescent="0.35">
      <c r="B35" s="135" t="s">
        <v>1165</v>
      </c>
      <c r="C35" s="135"/>
      <c r="D35" s="135"/>
      <c r="E35" s="135"/>
      <c r="F35" s="36"/>
    </row>
    <row r="36" spans="2:6" ht="68" customHeight="1" x14ac:dyDescent="0.35">
      <c r="B36" s="136" t="s">
        <v>1664</v>
      </c>
      <c r="C36" s="136"/>
      <c r="D36" s="136"/>
      <c r="E36" s="136"/>
      <c r="F36" s="36"/>
    </row>
    <row r="37" spans="2:6" ht="14.25" customHeight="1" x14ac:dyDescent="0.35">
      <c r="B37" s="36"/>
      <c r="C37" s="36"/>
      <c r="D37" s="36"/>
      <c r="E37" s="36"/>
      <c r="F37" s="36"/>
    </row>
    <row r="38" spans="2:6" ht="30" customHeight="1" x14ac:dyDescent="0.35">
      <c r="B38" s="137" t="s">
        <v>1665</v>
      </c>
      <c r="C38" s="137"/>
      <c r="D38" s="137"/>
      <c r="E38" s="137"/>
      <c r="F38" s="36"/>
    </row>
    <row r="39" spans="2:6" ht="14.25" customHeight="1" x14ac:dyDescent="0.35">
      <c r="B39" s="36"/>
      <c r="C39" s="36"/>
      <c r="D39" s="36"/>
      <c r="E39" s="36"/>
      <c r="F39" s="36"/>
    </row>
    <row r="40" spans="2:6" ht="14.25" customHeight="1" x14ac:dyDescent="0.35">
      <c r="B40" s="36"/>
      <c r="C40" s="36"/>
      <c r="D40" s="36"/>
      <c r="E40" s="36"/>
      <c r="F40" s="36"/>
    </row>
  </sheetData>
  <mergeCells count="19">
    <mergeCell ref="B2:E2"/>
    <mergeCell ref="B3:E3"/>
    <mergeCell ref="D5:E5"/>
    <mergeCell ref="B6:E6"/>
    <mergeCell ref="B14:C14"/>
    <mergeCell ref="D14:E14"/>
    <mergeCell ref="D15:E15"/>
    <mergeCell ref="B17:E17"/>
    <mergeCell ref="B18:E18"/>
    <mergeCell ref="B27:C27"/>
    <mergeCell ref="D27:E27"/>
    <mergeCell ref="B35:E35"/>
    <mergeCell ref="B36:E36"/>
    <mergeCell ref="B38:E38"/>
    <mergeCell ref="D28:E28"/>
    <mergeCell ref="B30:C30"/>
    <mergeCell ref="D30:E30"/>
    <mergeCell ref="B32:E32"/>
    <mergeCell ref="B33:E33"/>
  </mergeCells>
  <conditionalFormatting sqref="D27">
    <cfRule type="cellIs" dxfId="20" priority="2" operator="equal">
      <formula>"Early Stage"</formula>
    </cfRule>
    <cfRule type="cellIs" dxfId="19" priority="3" operator="equal">
      <formula>"Scale"</formula>
    </cfRule>
  </conditionalFormatting>
  <conditionalFormatting sqref="D20:D24">
    <cfRule type="containsText" dxfId="3" priority="4" operator="containsText" text="Select an answer">
      <formula>NOT(ISERROR(SEARCH("Select an answer",D20)))</formula>
    </cfRule>
  </conditionalFormatting>
  <conditionalFormatting sqref="D8:D12">
    <cfRule type="containsText" dxfId="2" priority="5" operator="containsText" text="Select an answer">
      <formula>NOT(ISERROR(SEARCH("Select an answer",D8)))</formula>
    </cfRule>
  </conditionalFormatting>
  <dataValidations count="6">
    <dataValidation type="list" allowBlank="1" showInputMessage="1" showErrorMessage="1" sqref="D20" xr:uid="{003C09B3-57FD-41C3-A90A-BF5CC73E8549}">
      <formula1>"Select an answer,Pre-revenue,&lt;US$500K,US$500K-US$1M,US$1M-US$5M,US$5M-US$10M,&gt;US$10M"</formula1>
    </dataValidation>
    <dataValidation type="list" allowBlank="1" showInputMessage="1" showErrorMessage="1" sqref="D21" xr:uid="{FB6250BB-86E9-4DBC-8307-6179A97648BD}">
      <formula1>"Select an answer,We are piloting and not yet selling commercially,We sell commercially in one market,We sell commercially in multiple markets"</formula1>
    </dataValidation>
    <dataValidation type="list" allowBlank="1" showInputMessage="1" showErrorMessage="1" sqref="D22" xr:uid="{6CC5C0C5-CF3E-4105-BD41-E38598E16A03}">
      <formula1>"Select an answer,A plan and pilot evidence only,At least 12 months of operating or cohort data,Audited multi-year data across markets"</formula1>
    </dataValidation>
    <dataValidation type="list" allowBlank="1" showInputMessage="1" showErrorMessage="1" sqref="D23" xr:uid="{580D4B54-E140-4E55-94AB-0608CFEC3D64}">
      <formula1>"Select an answer,Grants and founder or angel capital only,One institutional round or facility,Repeat institutional rounds or debt facilities"</formula1>
    </dataValidation>
    <dataValidation type="list" allowBlank="1" showInputMessage="1" showErrorMessage="1" sqref="D24" xr:uid="{855EDFC2-A30F-4224-904E-ACF498393047}">
      <formula1>"Select an answer,It runs on the founder(s) day to day,A functional management team runs it,An institutional bench with succession runs it"</formula1>
    </dataValidation>
    <dataValidation type="list" allowBlank="1" showInputMessage="1" showErrorMessage="1" sqref="D8 D9 D10 D11 D12" xr:uid="{4AF592FA-5EAA-4940-80D9-03844A8C2B73}">
      <formula1>"Select an answer,Yes,No"</formula1>
    </dataValidation>
  </dataValidations>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55A11"/>
  </sheetPr>
  <dimension ref="B2:K44"/>
  <sheetViews>
    <sheetView showGridLines="0" zoomScale="64" zoomScaleNormal="64" workbookViewId="0">
      <pane xSplit="1" ySplit="7" topLeftCell="B15" activePane="bottomRight" state="frozen"/>
      <selection pane="topRight" activeCell="B1" sqref="B1"/>
      <selection pane="bottomLeft" activeCell="A8" sqref="A8"/>
      <selection pane="bottomRight" activeCell="H16" sqref="H16:I16"/>
    </sheetView>
  </sheetViews>
  <sheetFormatPr defaultColWidth="8.6328125" defaultRowHeight="14.5" x14ac:dyDescent="0.35"/>
  <cols>
    <col min="1" max="1" width="2" customWidth="1"/>
    <col min="2" max="2" width="11" customWidth="1"/>
    <col min="3" max="3" width="34" customWidth="1"/>
    <col min="4" max="4" width="40" customWidth="1"/>
    <col min="5" max="6" width="38" customWidth="1"/>
    <col min="7" max="7" width="9" customWidth="1"/>
    <col min="8" max="8" width="11" customWidth="1"/>
    <col min="9" max="9" width="26" customWidth="1"/>
    <col min="11" max="11" width="4" customWidth="1"/>
  </cols>
  <sheetData>
    <row r="2" spans="2:11" ht="25.5" customHeight="1" x14ac:dyDescent="0.4">
      <c r="B2" s="151" t="s">
        <v>1166</v>
      </c>
      <c r="C2" s="151"/>
      <c r="D2" s="151"/>
      <c r="E2" s="151"/>
      <c r="F2" s="151"/>
      <c r="G2" s="151"/>
      <c r="H2" s="151"/>
      <c r="I2" s="151"/>
    </row>
    <row r="3" spans="2:11" ht="58.5" customHeight="1" x14ac:dyDescent="0.35">
      <c r="B3" s="152" t="s">
        <v>1577</v>
      </c>
      <c r="C3" s="152"/>
      <c r="D3" s="152"/>
      <c r="E3" s="152"/>
      <c r="F3" s="152"/>
      <c r="G3" s="152"/>
      <c r="H3" s="152"/>
      <c r="I3" s="152"/>
    </row>
    <row r="4" spans="2:11" ht="25.5" customHeight="1" x14ac:dyDescent="0.35">
      <c r="B4" s="50" t="s">
        <v>71</v>
      </c>
      <c r="C4" s="51" t="str">
        <f>'A. Screen Engine (Ref)'!$C$18</f>
        <v>—</v>
      </c>
      <c r="D4" s="3"/>
      <c r="E4" s="50" t="s">
        <v>72</v>
      </c>
      <c r="F4" s="52" t="str">
        <f>'A. Screen Engine (Ref)'!$C$19</f>
        <v>—</v>
      </c>
      <c r="G4" s="3"/>
      <c r="H4" s="3"/>
      <c r="I4" s="3"/>
      <c r="K4" s="1" t="str">
        <f>'A. Screen Engine (Ref)'!$C$17</f>
        <v>—</v>
      </c>
    </row>
    <row r="5" spans="2:11" ht="39.75" hidden="1" customHeight="1" x14ac:dyDescent="0.35">
      <c r="B5" s="49" t="s">
        <v>1167</v>
      </c>
      <c r="C5" s="48" t="str">
        <f>'A. Screen Engine (Ref)'!$C$12</f>
        <v>Follow Tool 01A screen</v>
      </c>
      <c r="D5" s="42" t="s">
        <v>1168</v>
      </c>
      <c r="E5" s="48" t="str">
        <f>'A. Screen Engine (Ref)'!$C$13</f>
        <v>Carbon Integrated</v>
      </c>
      <c r="F5" s="48" t="str">
        <f>'A. Screen Engine (Ref)'!$C$14</f>
        <v>Growth Stage</v>
      </c>
      <c r="G5" s="153" t="str">
        <f>'A. Screen Engine (Ref)'!$C$22</f>
        <v>Tool 01A is not complete yet. Answer Part A and Part B on Sheet 3 to load Tools 01B, 02 and 03.</v>
      </c>
      <c r="H5" s="153"/>
      <c r="I5" s="153"/>
      <c r="K5" s="2">
        <f>'A. Screen Engine (Ref)'!$C$20</f>
        <v>0</v>
      </c>
    </row>
    <row r="6" spans="2:11" ht="18" customHeight="1" x14ac:dyDescent="0.35">
      <c r="B6" s="142" t="str">
        <f>IF(OR($K$4="—",$F$4="—"),"COMPLETE TOOL 01A (SHEET 3) TO LOAD THE QUESTIONS FOR YOUR ARCHETYPE AND STAGE","ARCHETYPE "&amp;$K$4&amp;": THE "&amp;UPPER($C$4)&amp;IF($K$4="04"," MODEL","")&amp;"   ·   CRITERIA AND GATING AT THE "&amp;UPPER($F$4)&amp;" BAR")</f>
        <v>COMPLETE TOOL 01A (SHEET 3) TO LOAD THE QUESTIONS FOR YOUR ARCHETYPE AND STAGE</v>
      </c>
      <c r="C6" s="142"/>
      <c r="D6" s="142"/>
      <c r="E6" s="142"/>
      <c r="F6" s="142"/>
      <c r="G6" s="142"/>
      <c r="H6" s="142"/>
      <c r="I6" s="142"/>
    </row>
    <row r="7" spans="2:11" ht="30" customHeight="1" x14ac:dyDescent="0.35">
      <c r="B7" s="9" t="s">
        <v>50</v>
      </c>
      <c r="C7" s="9" t="s">
        <v>73</v>
      </c>
      <c r="D7" s="9" t="str">
        <f>IF($F$4="—","Strong (Green)","Strong (Green): "&amp;$F$4)</f>
        <v>Strong (Green)</v>
      </c>
      <c r="E7" s="9" t="str">
        <f>IF($F$4="—","Adequate (Amber)","Adequate (Amber): "&amp;$F$4)</f>
        <v>Adequate (Amber)</v>
      </c>
      <c r="F7" s="9" t="str">
        <f>IF($F$4="—","Concern (Red)","Concern (Red): "&amp;$F$4)</f>
        <v>Concern (Red)</v>
      </c>
      <c r="G7" s="9" t="str">
        <f>IF($F$4="—","Gating","Gating"&amp;CHAR(10)&amp;"("&amp;$F$4&amp;")")</f>
        <v>Gating</v>
      </c>
      <c r="H7" s="9" t="s">
        <v>74</v>
      </c>
      <c r="I7" s="9" t="s">
        <v>75</v>
      </c>
    </row>
    <row r="8" spans="2:11" ht="96" customHeight="1" x14ac:dyDescent="0.35">
      <c r="B8" s="44" t="str">
        <f>IF(1&gt;$K$5,"","Q1")</f>
        <v/>
      </c>
      <c r="C8" s="45" t="str">
        <f>IF($B8="","",IFERROR(INDEX('B. Stage Criteria (Ref)'!$F$6:$F$152,MATCH($K$4&amp;"|"&amp;$B8&amp;"|"&amp;$F$4,'B. Stage Criteria (Ref)'!$B$6:$B$152,0)),"—"))</f>
        <v/>
      </c>
      <c r="D8" s="45" t="str">
        <f>IF($B8="","",IFERROR(INDEX('B. Stage Criteria (Ref)'!$G$6:$G$152,MATCH($K$4&amp;"|"&amp;$B8&amp;"|"&amp;$F$4,'B. Stage Criteria (Ref)'!$B$6:$B$152,0))&amp;"","—"))</f>
        <v/>
      </c>
      <c r="E8" s="45" t="str">
        <f>IF($B8="","",IFERROR(INDEX('B. Stage Criteria (Ref)'!$H$6:$H$152,MATCH($K$4&amp;"|"&amp;$B8&amp;"|"&amp;$F$4,'B. Stage Criteria (Ref)'!$B$6:$B$152,0))&amp;"","—"))</f>
        <v/>
      </c>
      <c r="F8" s="45" t="str">
        <f>IF($B8="","",IFERROR(INDEX('B. Stage Criteria (Ref)'!$I$6:$I$152,MATCH($K$4&amp;"|"&amp;$B8&amp;"|"&amp;$F$4,'B. Stage Criteria (Ref)'!$B$6:$B$152,0))&amp;"","—"))</f>
        <v/>
      </c>
      <c r="G8" s="46" t="str">
        <f>IF($B8="","",IFERROR(INDEX('B. Stage Criteria (Ref)'!$J$6:$J$152,MATCH($K$4&amp;"|"&amp;$B8&amp;"|"&amp;$F$4,'B. Stage Criteria (Ref)'!$B$6:$B$152,0))&amp;"","—"))</f>
        <v/>
      </c>
      <c r="H8" s="47" t="s">
        <v>77</v>
      </c>
      <c r="I8" s="45"/>
    </row>
    <row r="9" spans="2:11" ht="96" customHeight="1" x14ac:dyDescent="0.35">
      <c r="B9" s="44" t="str">
        <f>IF(2&gt;$K$5,"","Q2")</f>
        <v/>
      </c>
      <c r="C9" s="45" t="str">
        <f>IF($B9="","",IFERROR(INDEX('B. Stage Criteria (Ref)'!$F$6:$F$152,MATCH($K$4&amp;"|"&amp;$B9&amp;"|"&amp;$F$4,'B. Stage Criteria (Ref)'!$B$6:$B$152,0)),"—"))</f>
        <v/>
      </c>
      <c r="D9" s="45" t="str">
        <f>IF($B9="","",IFERROR(INDEX('B. Stage Criteria (Ref)'!$G$6:$G$152,MATCH($K$4&amp;"|"&amp;$B9&amp;"|"&amp;$F$4,'B. Stage Criteria (Ref)'!$B$6:$B$152,0))&amp;"","—"))</f>
        <v/>
      </c>
      <c r="E9" s="45" t="str">
        <f>IF($B9="","",IFERROR(INDEX('B. Stage Criteria (Ref)'!$H$6:$H$152,MATCH($K$4&amp;"|"&amp;$B9&amp;"|"&amp;$F$4,'B. Stage Criteria (Ref)'!$B$6:$B$152,0))&amp;"","—"))</f>
        <v/>
      </c>
      <c r="F9" s="45" t="str">
        <f>IF($B9="","",IFERROR(INDEX('B. Stage Criteria (Ref)'!$I$6:$I$152,MATCH($K$4&amp;"|"&amp;$B9&amp;"|"&amp;$F$4,'B. Stage Criteria (Ref)'!$B$6:$B$152,0))&amp;"","—"))</f>
        <v/>
      </c>
      <c r="G9" s="46" t="str">
        <f>IF($B9="","",IFERROR(INDEX('B. Stage Criteria (Ref)'!$J$6:$J$152,MATCH($K$4&amp;"|"&amp;$B9&amp;"|"&amp;$F$4,'B. Stage Criteria (Ref)'!$B$6:$B$152,0))&amp;"","—"))</f>
        <v/>
      </c>
      <c r="H9" s="47" t="s">
        <v>77</v>
      </c>
      <c r="I9" s="45"/>
    </row>
    <row r="10" spans="2:11" ht="96" customHeight="1" x14ac:dyDescent="0.35">
      <c r="B10" s="44" t="str">
        <f>IF(3&gt;$K$5,"","Q3")</f>
        <v/>
      </c>
      <c r="C10" s="45" t="str">
        <f>IF($B10="","",IFERROR(INDEX('B. Stage Criteria (Ref)'!$F$6:$F$152,MATCH($K$4&amp;"|"&amp;$B10&amp;"|"&amp;$F$4,'B. Stage Criteria (Ref)'!$B$6:$B$152,0)),"—"))</f>
        <v/>
      </c>
      <c r="D10" s="45" t="str">
        <f>IF($B10="","",IFERROR(INDEX('B. Stage Criteria (Ref)'!$G$6:$G$152,MATCH($K$4&amp;"|"&amp;$B10&amp;"|"&amp;$F$4,'B. Stage Criteria (Ref)'!$B$6:$B$152,0))&amp;"","—"))</f>
        <v/>
      </c>
      <c r="E10" s="45" t="str">
        <f>IF($B10="","",IFERROR(INDEX('B. Stage Criteria (Ref)'!$H$6:$H$152,MATCH($K$4&amp;"|"&amp;$B10&amp;"|"&amp;$F$4,'B. Stage Criteria (Ref)'!$B$6:$B$152,0))&amp;"","—"))</f>
        <v/>
      </c>
      <c r="F10" s="45" t="str">
        <f>IF($B10="","",IFERROR(INDEX('B. Stage Criteria (Ref)'!$I$6:$I$152,MATCH($K$4&amp;"|"&amp;$B10&amp;"|"&amp;$F$4,'B. Stage Criteria (Ref)'!$B$6:$B$152,0))&amp;"","—"))</f>
        <v/>
      </c>
      <c r="G10" s="46" t="str">
        <f>IF($B10="","",IFERROR(INDEX('B. Stage Criteria (Ref)'!$J$6:$J$152,MATCH($K$4&amp;"|"&amp;$B10&amp;"|"&amp;$F$4,'B. Stage Criteria (Ref)'!$B$6:$B$152,0))&amp;"","—"))</f>
        <v/>
      </c>
      <c r="H10" s="47" t="s">
        <v>77</v>
      </c>
      <c r="I10" s="45"/>
    </row>
    <row r="11" spans="2:11" ht="96" customHeight="1" x14ac:dyDescent="0.35">
      <c r="B11" s="44" t="str">
        <f>IF(4&gt;$K$5,"","Q4")</f>
        <v/>
      </c>
      <c r="C11" s="45" t="str">
        <f>IF($B11="","",IFERROR(INDEX('B. Stage Criteria (Ref)'!$F$6:$F$152,MATCH($K$4&amp;"|"&amp;$B11&amp;"|"&amp;$F$4,'B. Stage Criteria (Ref)'!$B$6:$B$152,0)),"—"))</f>
        <v/>
      </c>
      <c r="D11" s="45" t="str">
        <f>IF($B11="","",IFERROR(INDEX('B. Stage Criteria (Ref)'!$G$6:$G$152,MATCH($K$4&amp;"|"&amp;$B11&amp;"|"&amp;$F$4,'B. Stage Criteria (Ref)'!$B$6:$B$152,0))&amp;"","—"))</f>
        <v/>
      </c>
      <c r="E11" s="45" t="str">
        <f>IF($B11="","",IFERROR(INDEX('B. Stage Criteria (Ref)'!$H$6:$H$152,MATCH($K$4&amp;"|"&amp;$B11&amp;"|"&amp;$F$4,'B. Stage Criteria (Ref)'!$B$6:$B$152,0))&amp;"","—"))</f>
        <v/>
      </c>
      <c r="F11" s="45" t="str">
        <f>IF($B11="","",IFERROR(INDEX('B. Stage Criteria (Ref)'!$I$6:$I$152,MATCH($K$4&amp;"|"&amp;$B11&amp;"|"&amp;$F$4,'B. Stage Criteria (Ref)'!$B$6:$B$152,0))&amp;"","—"))</f>
        <v/>
      </c>
      <c r="G11" s="46" t="str">
        <f>IF($B11="","",IFERROR(INDEX('B. Stage Criteria (Ref)'!$J$6:$J$152,MATCH($K$4&amp;"|"&amp;$B11&amp;"|"&amp;$F$4,'B. Stage Criteria (Ref)'!$B$6:$B$152,0))&amp;"","—"))</f>
        <v/>
      </c>
      <c r="H11" s="47" t="s">
        <v>77</v>
      </c>
      <c r="I11" s="45"/>
    </row>
    <row r="12" spans="2:11" ht="96" customHeight="1" x14ac:dyDescent="0.35">
      <c r="B12" s="44" t="str">
        <f>IF(5&gt;$K$5,"","Q5")</f>
        <v/>
      </c>
      <c r="C12" s="45" t="str">
        <f>IF($B12="","",IFERROR(INDEX('B. Stage Criteria (Ref)'!$F$6:$F$152,MATCH($K$4&amp;"|"&amp;$B12&amp;"|"&amp;$F$4,'B. Stage Criteria (Ref)'!$B$6:$B$152,0)),"—"))</f>
        <v/>
      </c>
      <c r="D12" s="45" t="str">
        <f>IF($B12="","",IFERROR(INDEX('B. Stage Criteria (Ref)'!$G$6:$G$152,MATCH($K$4&amp;"|"&amp;$B12&amp;"|"&amp;$F$4,'B. Stage Criteria (Ref)'!$B$6:$B$152,0))&amp;"","—"))</f>
        <v/>
      </c>
      <c r="E12" s="45" t="str">
        <f>IF($B12="","",IFERROR(INDEX('B. Stage Criteria (Ref)'!$H$6:$H$152,MATCH($K$4&amp;"|"&amp;$B12&amp;"|"&amp;$F$4,'B. Stage Criteria (Ref)'!$B$6:$B$152,0))&amp;"","—"))</f>
        <v/>
      </c>
      <c r="F12" s="45" t="str">
        <f>IF($B12="","",IFERROR(INDEX('B. Stage Criteria (Ref)'!$I$6:$I$152,MATCH($K$4&amp;"|"&amp;$B12&amp;"|"&amp;$F$4,'B. Stage Criteria (Ref)'!$B$6:$B$152,0))&amp;"","—"))</f>
        <v/>
      </c>
      <c r="G12" s="46" t="str">
        <f>IF($B12="","",IFERROR(INDEX('B. Stage Criteria (Ref)'!$J$6:$J$152,MATCH($K$4&amp;"|"&amp;$B12&amp;"|"&amp;$F$4,'B. Stage Criteria (Ref)'!$B$6:$B$152,0))&amp;"","—"))</f>
        <v/>
      </c>
      <c r="H12" s="47" t="s">
        <v>77</v>
      </c>
      <c r="I12" s="45"/>
    </row>
    <row r="13" spans="2:11" ht="96" customHeight="1" x14ac:dyDescent="0.35">
      <c r="B13" s="44" t="str">
        <f>IF(6&gt;$K$5,"","Q6")</f>
        <v/>
      </c>
      <c r="C13" s="45" t="str">
        <f>IF($B13="","",IFERROR(INDEX('B. Stage Criteria (Ref)'!$F$6:$F$152,MATCH($K$4&amp;"|"&amp;$B13&amp;"|"&amp;$F$4,'B. Stage Criteria (Ref)'!$B$6:$B$152,0)),"—"))</f>
        <v/>
      </c>
      <c r="D13" s="45" t="str">
        <f>IF($B13="","",IFERROR(INDEX('B. Stage Criteria (Ref)'!$G$6:$G$152,MATCH($K$4&amp;"|"&amp;$B13&amp;"|"&amp;$F$4,'B. Stage Criteria (Ref)'!$B$6:$B$152,0))&amp;"","—"))</f>
        <v/>
      </c>
      <c r="E13" s="45" t="str">
        <f>IF($B13="","",IFERROR(INDEX('B. Stage Criteria (Ref)'!$H$6:$H$152,MATCH($K$4&amp;"|"&amp;$B13&amp;"|"&amp;$F$4,'B. Stage Criteria (Ref)'!$B$6:$B$152,0))&amp;"","—"))</f>
        <v/>
      </c>
      <c r="F13" s="45" t="str">
        <f>IF($B13="","",IFERROR(INDEX('B. Stage Criteria (Ref)'!$I$6:$I$152,MATCH($K$4&amp;"|"&amp;$B13&amp;"|"&amp;$F$4,'B. Stage Criteria (Ref)'!$B$6:$B$152,0))&amp;"","—"))</f>
        <v/>
      </c>
      <c r="G13" s="46" t="str">
        <f>IF($B13="","",IFERROR(INDEX('B. Stage Criteria (Ref)'!$J$6:$J$152,MATCH($K$4&amp;"|"&amp;$B13&amp;"|"&amp;$F$4,'B. Stage Criteria (Ref)'!$B$6:$B$152,0))&amp;"","—"))</f>
        <v/>
      </c>
      <c r="H13" s="47" t="s">
        <v>77</v>
      </c>
      <c r="I13" s="45"/>
    </row>
    <row r="14" spans="2:11" ht="96" customHeight="1" x14ac:dyDescent="0.35">
      <c r="B14" s="44" t="str">
        <f>IF(7&gt;$K$5,"","Q7")</f>
        <v/>
      </c>
      <c r="C14" s="45" t="str">
        <f>IF($B14="","",IFERROR(INDEX('B. Stage Criteria (Ref)'!$F$6:$F$152,MATCH($K$4&amp;"|"&amp;$B14&amp;"|"&amp;$F$4,'B. Stage Criteria (Ref)'!$B$6:$B$152,0)),"—"))</f>
        <v/>
      </c>
      <c r="D14" s="45" t="str">
        <f>IF($B14="","",IFERROR(INDEX('B. Stage Criteria (Ref)'!$G$6:$G$152,MATCH($K$4&amp;"|"&amp;$B14&amp;"|"&amp;$F$4,'B. Stage Criteria (Ref)'!$B$6:$B$152,0))&amp;"","—"))</f>
        <v/>
      </c>
      <c r="E14" s="45" t="str">
        <f>IF($B14="","",IFERROR(INDEX('B. Stage Criteria (Ref)'!$H$6:$H$152,MATCH($K$4&amp;"|"&amp;$B14&amp;"|"&amp;$F$4,'B. Stage Criteria (Ref)'!$B$6:$B$152,0))&amp;"","—"))</f>
        <v/>
      </c>
      <c r="F14" s="45" t="str">
        <f>IF($B14="","",IFERROR(INDEX('B. Stage Criteria (Ref)'!$I$6:$I$152,MATCH($K$4&amp;"|"&amp;$B14&amp;"|"&amp;$F$4,'B. Stage Criteria (Ref)'!$B$6:$B$152,0))&amp;"","—"))</f>
        <v/>
      </c>
      <c r="G14" s="46" t="str">
        <f>IF($B14="","",IFERROR(INDEX('B. Stage Criteria (Ref)'!$J$6:$J$152,MATCH($K$4&amp;"|"&amp;$B14&amp;"|"&amp;$F$4,'B. Stage Criteria (Ref)'!$B$6:$B$152,0))&amp;"","—"))</f>
        <v/>
      </c>
      <c r="H14" s="47" t="s">
        <v>77</v>
      </c>
      <c r="I14" s="45"/>
    </row>
    <row r="15" spans="2:11" ht="96" customHeight="1" x14ac:dyDescent="0.35">
      <c r="B15" s="44" t="str">
        <f>IF(8&gt;$K$5,"","Q8")</f>
        <v/>
      </c>
      <c r="C15" s="45" t="str">
        <f>IF($B15="","",IFERROR(INDEX('B. Stage Criteria (Ref)'!$F$6:$F$152,MATCH($K$4&amp;"|"&amp;$B15&amp;"|"&amp;$F$4,'B. Stage Criteria (Ref)'!$B$6:$B$152,0)),"—"))</f>
        <v/>
      </c>
      <c r="D15" s="45" t="str">
        <f>IF($B15="","",IFERROR(INDEX('B. Stage Criteria (Ref)'!$G$6:$G$152,MATCH($K$4&amp;"|"&amp;$B15&amp;"|"&amp;$F$4,'B. Stage Criteria (Ref)'!$B$6:$B$152,0))&amp;"","—"))</f>
        <v/>
      </c>
      <c r="E15" s="45" t="str">
        <f>IF($B15="","",IFERROR(INDEX('B. Stage Criteria (Ref)'!$H$6:$H$152,MATCH($K$4&amp;"|"&amp;$B15&amp;"|"&amp;$F$4,'B. Stage Criteria (Ref)'!$B$6:$B$152,0))&amp;"","—"))</f>
        <v/>
      </c>
      <c r="F15" s="45" t="str">
        <f>IF($B15="","",IFERROR(INDEX('B. Stage Criteria (Ref)'!$I$6:$I$152,MATCH($K$4&amp;"|"&amp;$B15&amp;"|"&amp;$F$4,'B. Stage Criteria (Ref)'!$B$6:$B$152,0))&amp;"","—"))</f>
        <v/>
      </c>
      <c r="G15" s="46" t="str">
        <f>IF($B15="","",IFERROR(INDEX('B. Stage Criteria (Ref)'!$J$6:$J$152,MATCH($K$4&amp;"|"&amp;$B15&amp;"|"&amp;$F$4,'B. Stage Criteria (Ref)'!$B$6:$B$152,0))&amp;"","—"))</f>
        <v/>
      </c>
      <c r="H15" s="47" t="s">
        <v>77</v>
      </c>
      <c r="I15" s="45"/>
    </row>
    <row r="16" spans="2:11" ht="96" customHeight="1" x14ac:dyDescent="0.35">
      <c r="B16" s="44" t="str">
        <f>IF(9&gt;$K$5,"","Q9")</f>
        <v/>
      </c>
      <c r="C16" s="45" t="str">
        <f>IF($B16="","",IFERROR(INDEX('B. Stage Criteria (Ref)'!$F$6:$F$152,MATCH($K$4&amp;"|"&amp;$B16&amp;"|"&amp;$F$4,'B. Stage Criteria (Ref)'!$B$6:$B$152,0)),"—"))</f>
        <v/>
      </c>
      <c r="D16" s="45" t="str">
        <f>IF($B16="","",IFERROR(INDEX('B. Stage Criteria (Ref)'!$G$6:$G$152,MATCH($K$4&amp;"|"&amp;$B16&amp;"|"&amp;$F$4,'B. Stage Criteria (Ref)'!$B$6:$B$152,0))&amp;"","—"))</f>
        <v/>
      </c>
      <c r="E16" s="45" t="str">
        <f>IF($B16="","",IFERROR(INDEX('B. Stage Criteria (Ref)'!$H$6:$H$152,MATCH($K$4&amp;"|"&amp;$B16&amp;"|"&amp;$F$4,'B. Stage Criteria (Ref)'!$B$6:$B$152,0))&amp;"","—"))</f>
        <v/>
      </c>
      <c r="F16" s="45" t="str">
        <f>IF($B16="","",IFERROR(INDEX('B. Stage Criteria (Ref)'!$I$6:$I$152,MATCH($K$4&amp;"|"&amp;$B16&amp;"|"&amp;$F$4,'B. Stage Criteria (Ref)'!$B$6:$B$152,0))&amp;"","—"))</f>
        <v/>
      </c>
      <c r="G16" s="46" t="str">
        <f>IF($B16="","",IFERROR(INDEX('B. Stage Criteria (Ref)'!$J$6:$J$152,MATCH($K$4&amp;"|"&amp;$B16&amp;"|"&amp;$F$4,'B. Stage Criteria (Ref)'!$B$6:$B$152,0))&amp;"","—"))</f>
        <v/>
      </c>
      <c r="H16" s="47" t="s">
        <v>77</v>
      </c>
      <c r="I16" s="45"/>
    </row>
    <row r="17" spans="2:9" ht="96" customHeight="1" x14ac:dyDescent="0.35">
      <c r="B17" s="44" t="str">
        <f>IF(10&gt;$K$5,"","Q10")</f>
        <v/>
      </c>
      <c r="C17" s="45" t="str">
        <f>IF($B17="","",IFERROR(INDEX('B. Stage Criteria (Ref)'!$F$6:$F$152,MATCH($K$4&amp;"|"&amp;$B17&amp;"|"&amp;$F$4,'B. Stage Criteria (Ref)'!$B$6:$B$152,0)),"—"))</f>
        <v/>
      </c>
      <c r="D17" s="45" t="str">
        <f>IF($B17="","",IFERROR(INDEX('B. Stage Criteria (Ref)'!$G$6:$G$152,MATCH($K$4&amp;"|"&amp;$B17&amp;"|"&amp;$F$4,'B. Stage Criteria (Ref)'!$B$6:$B$152,0))&amp;"","—"))</f>
        <v/>
      </c>
      <c r="E17" s="45" t="str">
        <f>IF($B17="","",IFERROR(INDEX('B. Stage Criteria (Ref)'!$H$6:$H$152,MATCH($K$4&amp;"|"&amp;$B17&amp;"|"&amp;$F$4,'B. Stage Criteria (Ref)'!$B$6:$B$152,0))&amp;"","—"))</f>
        <v/>
      </c>
      <c r="F17" s="45" t="str">
        <f>IF($B17="","",IFERROR(INDEX('B. Stage Criteria (Ref)'!$I$6:$I$152,MATCH($K$4&amp;"|"&amp;$B17&amp;"|"&amp;$F$4,'B. Stage Criteria (Ref)'!$B$6:$B$152,0))&amp;"","—"))</f>
        <v/>
      </c>
      <c r="G17" s="46" t="str">
        <f>IF($B17="","",IFERROR(INDEX('B. Stage Criteria (Ref)'!$J$6:$J$152,MATCH($K$4&amp;"|"&amp;$B17&amp;"|"&amp;$F$4,'B. Stage Criteria (Ref)'!$B$6:$B$152,0))&amp;"","—"))</f>
        <v/>
      </c>
      <c r="H17" s="47" t="s">
        <v>77</v>
      </c>
      <c r="I17" s="45"/>
    </row>
    <row r="18" spans="2:9" ht="96" customHeight="1" x14ac:dyDescent="0.35">
      <c r="B18" s="44" t="str">
        <f>IF(11&gt;$K$5,"","Q11")</f>
        <v/>
      </c>
      <c r="C18" s="45" t="str">
        <f>IF($B18="","",IFERROR(INDEX('B. Stage Criteria (Ref)'!$F$6:$F$152,MATCH($K$4&amp;"|"&amp;$B18&amp;"|"&amp;$F$4,'B. Stage Criteria (Ref)'!$B$6:$B$152,0)),"—"))</f>
        <v/>
      </c>
      <c r="D18" s="45" t="str">
        <f>IF($B18="","",IFERROR(INDEX('B. Stage Criteria (Ref)'!$G$6:$G$152,MATCH($K$4&amp;"|"&amp;$B18&amp;"|"&amp;$F$4,'B. Stage Criteria (Ref)'!$B$6:$B$152,0))&amp;"","—"))</f>
        <v/>
      </c>
      <c r="E18" s="45" t="str">
        <f>IF($B18="","",IFERROR(INDEX('B. Stage Criteria (Ref)'!$H$6:$H$152,MATCH($K$4&amp;"|"&amp;$B18&amp;"|"&amp;$F$4,'B. Stage Criteria (Ref)'!$B$6:$B$152,0))&amp;"","—"))</f>
        <v/>
      </c>
      <c r="F18" s="45" t="str">
        <f>IF($B18="","",IFERROR(INDEX('B. Stage Criteria (Ref)'!$I$6:$I$152,MATCH($K$4&amp;"|"&amp;$B18&amp;"|"&amp;$F$4,'B. Stage Criteria (Ref)'!$B$6:$B$152,0))&amp;"","—"))</f>
        <v/>
      </c>
      <c r="G18" s="46" t="str">
        <f>IF($B18="","",IFERROR(INDEX('B. Stage Criteria (Ref)'!$J$6:$J$152,MATCH($K$4&amp;"|"&amp;$B18&amp;"|"&amp;$F$4,'B. Stage Criteria (Ref)'!$B$6:$B$152,0))&amp;"","—"))</f>
        <v/>
      </c>
      <c r="H18" s="47" t="s">
        <v>77</v>
      </c>
      <c r="I18" s="45"/>
    </row>
    <row r="19" spans="2:9" ht="39.75" customHeight="1" x14ac:dyDescent="0.35">
      <c r="B19" s="154" t="str">
        <f>IFERROR(INDEX('A. Screen Engine (Ref)'!$E$35:$E$39,MATCH($K$4,'A. Screen Engine (Ref)'!$C$35:$C$39,0)),"—")</f>
        <v>—</v>
      </c>
      <c r="C19" s="154"/>
      <c r="D19" s="154"/>
      <c r="E19" s="154"/>
      <c r="F19" s="154"/>
      <c r="G19" s="154"/>
      <c r="H19" s="154"/>
      <c r="I19" s="154"/>
    </row>
    <row r="20" spans="2:9" ht="61.5" customHeight="1" x14ac:dyDescent="0.35">
      <c r="B20" s="148" t="str">
        <f>IFERROR(INDEX('A. Screen Engine (Ref)'!$F$35:$F$39,MATCH($K$4,'A. Screen Engine (Ref)'!$C$35:$C$39,0)),"—")</f>
        <v>—</v>
      </c>
      <c r="C20" s="148"/>
      <c r="D20" s="148"/>
      <c r="E20" s="148"/>
      <c r="F20" s="148"/>
      <c r="G20" s="148"/>
      <c r="H20" s="148"/>
      <c r="I20" s="148"/>
    </row>
    <row r="21" spans="2:9" x14ac:dyDescent="0.35">
      <c r="B21" s="3"/>
      <c r="C21" s="3"/>
      <c r="D21" s="3"/>
      <c r="E21" s="3"/>
      <c r="F21" s="3"/>
      <c r="G21" s="3"/>
      <c r="H21" s="3"/>
      <c r="I21" s="3"/>
    </row>
    <row r="22" spans="2:9" ht="21.75" customHeight="1" x14ac:dyDescent="0.35">
      <c r="B22" s="49" t="s">
        <v>78</v>
      </c>
      <c r="C22" s="3"/>
      <c r="D22" s="53" t="str">
        <f>SUMPRODUCT(($B$8:$B$18&lt;&gt;"")*($H$8:$H$18="Green"))&amp;" Green"</f>
        <v>0 Green</v>
      </c>
      <c r="E22" s="54" t="str">
        <f>SUMPRODUCT(($B$8:$B$18&lt;&gt;"")*($H$8:$H$18="Amber"))&amp;" Amber"</f>
        <v>0 Amber</v>
      </c>
      <c r="F22" s="55" t="str">
        <f>SUMPRODUCT(($B$8:$B$18&lt;&gt;"")*($H$8:$H$18="Red"))&amp;" Red ("&amp;SUMPRODUCT(($B$8:$B$18&lt;&gt;"")*($G$8:$G$18="✔")*($H$8:$H$18="Red"))&amp;" on gating)"</f>
        <v>0 Red (0 on gating)</v>
      </c>
      <c r="G22" s="56" t="str">
        <f>SUMPRODUCT(($B$8:$B$18&lt;&gt;"")*(($H$8:$H$18="Not rated")+($H$8:$H$18="")))&amp;" unrated"</f>
        <v>0 unrated</v>
      </c>
      <c r="H22" s="3"/>
      <c r="I22" s="3"/>
    </row>
    <row r="23" spans="2:9" ht="42" customHeight="1" x14ac:dyDescent="0.35">
      <c r="B23" s="35" t="s">
        <v>79</v>
      </c>
      <c r="C23" s="3"/>
      <c r="D23" s="149" t="str" cm="1">
        <f t="array" ref="D23">IF(SUMPRODUCT(($B$8:$B$18&lt;&gt;"")*(($H$8:$H$18="Not rated")+($H$8:$H$18="")))=$K$5,"Rate the questions above to generate a decision",IF(SUMPRODUCT(($B$8:$B$18&lt;&gt;"")*($G$8:$G$18="✔")*($H$8:$H$18="Red"))&gt;0,"NO-GO PENDING RESOLUTION: a gating question is Red. Do not proceed until more diligence or restructuring fixes this",IF(SUMPRODUCT(($B$8:$B$18&lt;&gt;"")*($H$8:$H$18="Amber"))+SUMPRODUCT(($B$8:$B$18&lt;&gt;"")*($H$8:$H$18="Red"))&gt;=3,"NO-GO PENDING RESOLUTION: 3 or more questions are Amber or Red. Do not proceed until more diligence or restructuring fixes this",IF(AND(SUMPRODUCT(($B$8:$B$18&lt;&gt;"")*($H$8:$H$18="Red"))=0,SUMPRODUCT(($B$8:$B$18&lt;&gt;"")*($H$8:$H$18="Amber"))&lt;=1),"GO: the business fits its archetype. Move to structuring (Tool 02)","HOLD &amp; STRUCTURE: proceed only with new pricing or a de-risking layer (first-loss, milestone-linked tranches, or a carbon price floor) that fixes the Amber and Red ratings"))))</f>
        <v>Rate the questions above to generate a decision</v>
      </c>
      <c r="E23" s="149"/>
      <c r="F23" s="149"/>
      <c r="G23" s="149"/>
      <c r="H23" s="149"/>
      <c r="I23" s="149"/>
    </row>
    <row r="24" spans="2:9" ht="15.75" customHeight="1" x14ac:dyDescent="0.35">
      <c r="B24" s="138" t="str" cm="1">
        <f t="array" ref="B24">IF(SUMPRODUCT(($B$8:$B$18&lt;&gt;"")*(($H$8:$H$18="Not rated")+($H$8:$H$18="")))&gt;0,IF(SUMPRODUCT(($B$8:$B$18&lt;&gt;"")*(($H$8:$H$18="Not rated")+($H$8:$H$18="")))=$K$5,"","Note: "&amp;SUMPRODUCT(($B$8:$B$18&lt;&gt;"")*(($H$8:$H$18="Not rated")+($H$8:$H$18="")))&amp;" question(s) still unrated. The decision is provisional until all are rated."),"")</f>
        <v/>
      </c>
      <c r="C24" s="138"/>
      <c r="D24" s="138"/>
      <c r="E24" s="138"/>
      <c r="F24" s="138"/>
      <c r="G24" s="138"/>
      <c r="H24" s="138"/>
      <c r="I24" s="138"/>
    </row>
    <row r="25" spans="2:9" x14ac:dyDescent="0.35">
      <c r="B25" s="3"/>
      <c r="C25" s="3"/>
      <c r="D25" s="3"/>
      <c r="E25" s="3"/>
      <c r="F25" s="3"/>
      <c r="G25" s="3"/>
      <c r="H25" s="3"/>
      <c r="I25" s="3"/>
    </row>
    <row r="26" spans="2:9" ht="55.5" customHeight="1" x14ac:dyDescent="0.35">
      <c r="B26" s="150" t="str">
        <f>IFERROR(INDEX('A. Screen Engine (Ref)'!$G$35:$G$39,MATCH($K$4,'A. Screen Engine (Ref)'!$C$35:$C$39,0)),"—")</f>
        <v>—</v>
      </c>
      <c r="C26" s="150"/>
      <c r="D26" s="150"/>
      <c r="E26" s="150"/>
      <c r="F26" s="150"/>
      <c r="G26" s="150"/>
      <c r="H26" s="150"/>
      <c r="I26" s="150"/>
    </row>
    <row r="27" spans="2:9" x14ac:dyDescent="0.35">
      <c r="B27" s="3"/>
      <c r="C27" s="3"/>
      <c r="D27" s="3"/>
      <c r="E27" s="3"/>
      <c r="F27" s="3"/>
      <c r="G27" s="3"/>
      <c r="H27" s="3"/>
      <c r="I27" s="3"/>
    </row>
    <row r="28" spans="2:9" ht="30" customHeight="1" x14ac:dyDescent="0.35">
      <c r="B28" s="137" t="s">
        <v>1479</v>
      </c>
      <c r="C28" s="137"/>
      <c r="D28" s="137"/>
      <c r="E28" s="137"/>
      <c r="F28" s="137"/>
      <c r="G28" s="137"/>
      <c r="H28" s="137"/>
      <c r="I28" s="137"/>
    </row>
    <row r="29" spans="2:9" x14ac:dyDescent="0.35">
      <c r="B29" s="3"/>
      <c r="C29" s="3"/>
      <c r="D29" s="3"/>
      <c r="E29" s="3"/>
      <c r="F29" s="3"/>
      <c r="G29" s="3"/>
      <c r="H29" s="3"/>
      <c r="I29" s="3"/>
    </row>
    <row r="30" spans="2:9" x14ac:dyDescent="0.35">
      <c r="B30" s="3"/>
      <c r="C30" s="3"/>
      <c r="D30" s="3"/>
      <c r="E30" s="3"/>
      <c r="F30" s="3"/>
      <c r="G30" s="3"/>
      <c r="H30" s="3"/>
      <c r="I30" s="3"/>
    </row>
    <row r="31" spans="2:9" x14ac:dyDescent="0.35">
      <c r="B31" s="3"/>
      <c r="C31" s="3"/>
      <c r="D31" s="3"/>
      <c r="E31" s="3"/>
      <c r="F31" s="3"/>
      <c r="G31" s="3"/>
      <c r="H31" s="3"/>
      <c r="I31" s="3"/>
    </row>
    <row r="32" spans="2:9" x14ac:dyDescent="0.35">
      <c r="B32" s="3"/>
      <c r="C32" s="3"/>
      <c r="D32" s="3"/>
      <c r="E32" s="3"/>
      <c r="F32" s="3"/>
      <c r="G32" s="3"/>
      <c r="H32" s="3"/>
      <c r="I32" s="3"/>
    </row>
    <row r="33" spans="2:9" x14ac:dyDescent="0.35">
      <c r="B33" s="3"/>
      <c r="C33" s="3"/>
      <c r="D33" s="3"/>
      <c r="E33" s="3"/>
      <c r="F33" s="3"/>
      <c r="G33" s="3"/>
      <c r="H33" s="3"/>
      <c r="I33" s="3"/>
    </row>
    <row r="34" spans="2:9" x14ac:dyDescent="0.35">
      <c r="B34" s="3"/>
      <c r="C34" s="3"/>
      <c r="D34" s="3"/>
      <c r="E34" s="3"/>
      <c r="F34" s="3"/>
      <c r="G34" s="3"/>
      <c r="H34" s="3"/>
      <c r="I34" s="3"/>
    </row>
    <row r="35" spans="2:9" x14ac:dyDescent="0.35">
      <c r="B35" s="3"/>
      <c r="C35" s="3"/>
      <c r="D35" s="3"/>
      <c r="E35" s="3"/>
      <c r="F35" s="3"/>
      <c r="G35" s="3"/>
      <c r="H35" s="3"/>
      <c r="I35" s="3"/>
    </row>
    <row r="36" spans="2:9" x14ac:dyDescent="0.35">
      <c r="B36" s="3"/>
      <c r="C36" s="3"/>
      <c r="D36" s="3"/>
      <c r="E36" s="3"/>
      <c r="F36" s="3"/>
      <c r="G36" s="3"/>
      <c r="H36" s="3"/>
      <c r="I36" s="3"/>
    </row>
    <row r="37" spans="2:9" x14ac:dyDescent="0.35">
      <c r="B37" s="3"/>
      <c r="C37" s="3"/>
      <c r="D37" s="3"/>
      <c r="E37" s="3"/>
      <c r="F37" s="3"/>
      <c r="G37" s="3"/>
      <c r="H37" s="3"/>
      <c r="I37" s="3"/>
    </row>
    <row r="38" spans="2:9" x14ac:dyDescent="0.35">
      <c r="B38" s="3"/>
      <c r="C38" s="3"/>
      <c r="D38" s="3"/>
      <c r="E38" s="3"/>
      <c r="F38" s="3"/>
      <c r="G38" s="3"/>
      <c r="H38" s="3"/>
      <c r="I38" s="3"/>
    </row>
    <row r="39" spans="2:9" x14ac:dyDescent="0.35">
      <c r="B39" s="3"/>
      <c r="C39" s="3"/>
      <c r="D39" s="3"/>
      <c r="E39" s="3"/>
      <c r="F39" s="3"/>
      <c r="G39" s="3"/>
      <c r="H39" s="3"/>
      <c r="I39" s="3"/>
    </row>
    <row r="40" spans="2:9" x14ac:dyDescent="0.35">
      <c r="B40" s="3"/>
      <c r="C40" s="3"/>
      <c r="D40" s="3"/>
      <c r="E40" s="3"/>
      <c r="F40" s="3"/>
      <c r="G40" s="3"/>
      <c r="H40" s="3"/>
      <c r="I40" s="3"/>
    </row>
    <row r="41" spans="2:9" x14ac:dyDescent="0.35">
      <c r="B41" s="3"/>
      <c r="C41" s="3"/>
      <c r="D41" s="3"/>
      <c r="E41" s="3"/>
      <c r="F41" s="3"/>
      <c r="G41" s="3"/>
      <c r="H41" s="3"/>
      <c r="I41" s="3"/>
    </row>
    <row r="42" spans="2:9" x14ac:dyDescent="0.35">
      <c r="B42" s="3"/>
      <c r="C42" s="3"/>
      <c r="D42" s="3"/>
      <c r="E42" s="3"/>
      <c r="F42" s="3"/>
      <c r="G42" s="3"/>
      <c r="H42" s="3"/>
      <c r="I42" s="3"/>
    </row>
    <row r="43" spans="2:9" x14ac:dyDescent="0.35">
      <c r="B43" s="3"/>
      <c r="C43" s="3"/>
      <c r="D43" s="3"/>
      <c r="E43" s="3"/>
      <c r="F43" s="3"/>
      <c r="G43" s="3"/>
      <c r="H43" s="3"/>
      <c r="I43" s="3"/>
    </row>
    <row r="44" spans="2:9" x14ac:dyDescent="0.35">
      <c r="B44" s="3"/>
      <c r="C44" s="3"/>
      <c r="D44" s="3"/>
      <c r="E44" s="3"/>
      <c r="F44" s="3"/>
      <c r="G44" s="3"/>
      <c r="H44" s="3"/>
      <c r="I44" s="3"/>
    </row>
  </sheetData>
  <mergeCells count="10">
    <mergeCell ref="B2:I2"/>
    <mergeCell ref="B3:I3"/>
    <mergeCell ref="G5:I5"/>
    <mergeCell ref="B6:I6"/>
    <mergeCell ref="B19:I19"/>
    <mergeCell ref="B20:I20"/>
    <mergeCell ref="D23:I23"/>
    <mergeCell ref="B24:I24"/>
    <mergeCell ref="B26:I26"/>
    <mergeCell ref="B28:I28"/>
  </mergeCells>
  <conditionalFormatting sqref="B8:I18">
    <cfRule type="expression" dxfId="18" priority="2">
      <formula>$B8=""</formula>
    </cfRule>
  </conditionalFormatting>
  <conditionalFormatting sqref="D23">
    <cfRule type="expression" dxfId="17" priority="6">
      <formula>LEFT($D$23,2)="GO"</formula>
    </cfRule>
    <cfRule type="expression" dxfId="16" priority="7">
      <formula>LEFT($D$23,4)="HOLD"</formula>
    </cfRule>
    <cfRule type="expression" dxfId="15" priority="8">
      <formula>LEFT($D$23,5)="NO-GO"</formula>
    </cfRule>
  </conditionalFormatting>
  <conditionalFormatting sqref="H8:H18">
    <cfRule type="cellIs" dxfId="14" priority="3" operator="equal">
      <formula>"Green"</formula>
    </cfRule>
    <cfRule type="cellIs" dxfId="13" priority="4" operator="equal">
      <formula>"Amber"</formula>
    </cfRule>
    <cfRule type="cellIs" dxfId="12" priority="5" operator="equal">
      <formula>"Red"</formula>
    </cfRule>
  </conditionalFormatting>
  <dataValidations count="1">
    <dataValidation type="list" allowBlank="1" sqref="H8:H18" xr:uid="{00000000-0002-0000-0400-000000000000}">
      <formula1>"Not rated,Green,Amber,Red"</formula1>
      <formula2>0</formula2>
    </dataValidation>
  </dataValidations>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55A11"/>
  </sheetPr>
  <dimension ref="B2:F26"/>
  <sheetViews>
    <sheetView showGridLines="0" zoomScale="64" zoomScaleNormal="100" workbookViewId="0">
      <pane xSplit="1" ySplit="4" topLeftCell="B5" activePane="bottomRight" state="frozen"/>
      <selection pane="topRight" activeCell="B1" sqref="B1"/>
      <selection pane="bottomLeft" activeCell="A5" sqref="A5"/>
      <selection pane="bottomRight" activeCell="B11" sqref="B11:H11"/>
    </sheetView>
  </sheetViews>
  <sheetFormatPr defaultColWidth="8.6328125" defaultRowHeight="14.5" x14ac:dyDescent="0.35"/>
  <cols>
    <col min="1" max="1" width="2" style="3" customWidth="1"/>
    <col min="2" max="2" width="34" style="3" customWidth="1"/>
    <col min="3" max="4" width="49" style="3" customWidth="1"/>
    <col min="5" max="5" width="4" style="3" customWidth="1"/>
    <col min="6" max="6" width="22" style="3" customWidth="1"/>
    <col min="7" max="16384" width="8.6328125" style="3"/>
  </cols>
  <sheetData>
    <row r="2" spans="2:6" ht="25.5" customHeight="1" x14ac:dyDescent="0.35">
      <c r="B2" s="171" t="s">
        <v>1169</v>
      </c>
      <c r="C2" s="172"/>
      <c r="D2" s="173"/>
    </row>
    <row r="3" spans="2:6" ht="66" customHeight="1" x14ac:dyDescent="0.35">
      <c r="B3" s="174" t="s">
        <v>1480</v>
      </c>
      <c r="C3" s="152"/>
      <c r="D3" s="175"/>
    </row>
    <row r="4" spans="2:6" x14ac:dyDescent="0.35">
      <c r="B4" s="60"/>
      <c r="D4" s="61"/>
    </row>
    <row r="5" spans="2:6" ht="21.75" customHeight="1" x14ac:dyDescent="0.35">
      <c r="B5" s="176" t="s">
        <v>1481</v>
      </c>
      <c r="C5" s="177"/>
      <c r="D5" s="178"/>
      <c r="F5" s="57" t="s">
        <v>80</v>
      </c>
    </row>
    <row r="6" spans="2:6" ht="16.5" customHeight="1" x14ac:dyDescent="0.35">
      <c r="B6" s="62" t="s">
        <v>81</v>
      </c>
      <c r="C6" s="179" t="str">
        <f>'A. Screen Engine (Ref)'!$C$18</f>
        <v>—</v>
      </c>
      <c r="D6" s="180"/>
      <c r="F6" s="59" t="str">
        <f>'A. Screen Engine (Ref)'!$C$17&amp;"|"&amp;'A. Screen Engine (Ref)'!$C$19</f>
        <v>—|—</v>
      </c>
    </row>
    <row r="7" spans="2:6" ht="16.5" customHeight="1" x14ac:dyDescent="0.35">
      <c r="B7" s="62" t="s">
        <v>82</v>
      </c>
      <c r="C7" s="179" t="str">
        <f>'A. Screen Engine (Ref)'!$C$19</f>
        <v>—</v>
      </c>
      <c r="D7" s="180"/>
    </row>
    <row r="8" spans="2:6" ht="16.5" customHeight="1" x14ac:dyDescent="0.35">
      <c r="B8" s="62" t="s">
        <v>83</v>
      </c>
      <c r="C8" s="167" t="str">
        <f>IFERROR(INDEX('C. Instrument Library (Ref)'!$F$6:$F$20,MATCH($F$6,'C. Instrument Library (Ref)'!$B$6:$B$20,0)),"—")</f>
        <v>—</v>
      </c>
      <c r="D8" s="168"/>
    </row>
    <row r="9" spans="2:6" ht="31.5" customHeight="1" x14ac:dyDescent="0.35">
      <c r="B9" s="62" t="s">
        <v>84</v>
      </c>
      <c r="C9" s="160" t="str">
        <f>'A. Screen Engine (Ref)'!$C$22</f>
        <v>Tool 01A is not complete yet. Answer Part A and Part B on Sheet 3 to load Tools 01B, 02 and 03.</v>
      </c>
      <c r="D9" s="161"/>
    </row>
    <row r="10" spans="2:6" ht="34" customHeight="1" x14ac:dyDescent="0.35">
      <c r="B10" s="210" t="str">
        <f>IF(ISNUMBER(SEARCH("NO-GO",'4. Tool 01B DD Checklist'!$D$23)),"⚠ WARNING: Tool 01B gives NO-GO PENDING RESOLUTION. Use this recommendation for reference only. Do not structure a deal until Tool 01B gives GO or HOLD &amp; STRUCTURE.","")</f>
        <v/>
      </c>
      <c r="C10" s="210"/>
      <c r="D10" s="210"/>
      <c r="E10"/>
    </row>
    <row r="11" spans="2:6" ht="21.75" customHeight="1" x14ac:dyDescent="0.35">
      <c r="B11" s="164" t="s">
        <v>1170</v>
      </c>
      <c r="C11" s="165"/>
      <c r="D11" s="166"/>
    </row>
    <row r="12" spans="2:6" ht="51.75" customHeight="1" x14ac:dyDescent="0.35">
      <c r="B12" s="62" t="s">
        <v>85</v>
      </c>
      <c r="C12" s="160" t="str">
        <f>IFERROR(INDEX('C. Instrument Library (Ref)'!$G$6:$G$20,MATCH($F$6,'C. Instrument Library (Ref)'!$B$6:$B$20,0)),"(Complete the Tool 01A screen on Sheet 3)")</f>
        <v>(Complete the Tool 01A screen on Sheet 3)</v>
      </c>
      <c r="D12" s="161"/>
    </row>
    <row r="13" spans="2:6" ht="19.5" customHeight="1" x14ac:dyDescent="0.35">
      <c r="B13" s="62" t="s">
        <v>86</v>
      </c>
      <c r="C13" s="169" t="str">
        <f>IFERROR(INDEX('C. Instrument Library (Ref)'!$H$6:$H$20,MATCH($F$6,'C. Instrument Library (Ref)'!$B$6:$B$20,0)),"(Complete the Tool 01A screen on Sheet 3)")</f>
        <v>(Complete the Tool 01A screen on Sheet 3)</v>
      </c>
      <c r="D13" s="170"/>
    </row>
    <row r="14" spans="2:6" ht="66" customHeight="1" x14ac:dyDescent="0.35">
      <c r="B14" s="62" t="s">
        <v>1171</v>
      </c>
      <c r="C14" s="160" t="str">
        <f>IFERROR(INDEX('C. Instrument Library (Ref)'!$I$6:$I$20,MATCH($F$6,'C. Instrument Library (Ref)'!$B$6:$B$20,0)),"(Complete the Tool 01A screen on Sheet 3)")</f>
        <v>(Complete the Tool 01A screen on Sheet 3)</v>
      </c>
      <c r="D14" s="161"/>
    </row>
    <row r="15" spans="2:6" ht="81.75" customHeight="1" x14ac:dyDescent="0.35">
      <c r="B15" s="62" t="s">
        <v>87</v>
      </c>
      <c r="C15" s="160" t="str">
        <f>IFERROR(INDEX('C. Instrument Library (Ref)'!$J$6:$J$20,MATCH($F$6,'C. Instrument Library (Ref)'!$B$6:$B$20,0)),"(Complete the Tool 01A screen on Sheet 3)")</f>
        <v>(Complete the Tool 01A screen on Sheet 3)</v>
      </c>
      <c r="D15" s="161"/>
    </row>
    <row r="16" spans="2:6" x14ac:dyDescent="0.35">
      <c r="B16" s="60"/>
      <c r="D16" s="61"/>
    </row>
    <row r="17" spans="2:4" ht="40" customHeight="1" x14ac:dyDescent="0.35">
      <c r="B17" s="162" t="s">
        <v>1482</v>
      </c>
      <c r="C17" s="148"/>
      <c r="D17" s="163"/>
    </row>
    <row r="18" spans="2:4" x14ac:dyDescent="0.35">
      <c r="B18" s="60"/>
      <c r="D18" s="61"/>
    </row>
    <row r="19" spans="2:4" ht="18" customHeight="1" x14ac:dyDescent="0.35">
      <c r="B19" s="164" t="s">
        <v>1483</v>
      </c>
      <c r="C19" s="165"/>
      <c r="D19" s="166"/>
    </row>
    <row r="20" spans="2:4" ht="54" customHeight="1" x14ac:dyDescent="0.35">
      <c r="B20" s="62" t="s">
        <v>88</v>
      </c>
      <c r="C20" s="155" t="s">
        <v>1666</v>
      </c>
      <c r="D20" s="156"/>
    </row>
    <row r="21" spans="2:4" ht="54" customHeight="1" x14ac:dyDescent="0.35">
      <c r="B21" s="62" t="s">
        <v>89</v>
      </c>
      <c r="C21" s="155" t="s">
        <v>1667</v>
      </c>
      <c r="D21" s="156"/>
    </row>
    <row r="22" spans="2:4" ht="54" customHeight="1" x14ac:dyDescent="0.35">
      <c r="B22" s="62" t="s">
        <v>1172</v>
      </c>
      <c r="C22" s="155" t="s">
        <v>1578</v>
      </c>
      <c r="D22" s="156"/>
    </row>
    <row r="23" spans="2:4" ht="68" customHeight="1" x14ac:dyDescent="0.35">
      <c r="B23" s="62" t="s">
        <v>1173</v>
      </c>
      <c r="C23" s="155" t="s">
        <v>1484</v>
      </c>
      <c r="D23" s="156"/>
    </row>
    <row r="24" spans="2:4" ht="54" customHeight="1" x14ac:dyDescent="0.35">
      <c r="B24" s="62" t="s">
        <v>90</v>
      </c>
      <c r="C24" s="155" t="s">
        <v>1485</v>
      </c>
      <c r="D24" s="156"/>
    </row>
    <row r="25" spans="2:4" x14ac:dyDescent="0.35">
      <c r="B25" s="60"/>
      <c r="D25" s="61"/>
    </row>
    <row r="26" spans="2:4" ht="30" customHeight="1" x14ac:dyDescent="0.35">
      <c r="B26" s="157" t="s">
        <v>1486</v>
      </c>
      <c r="C26" s="158"/>
      <c r="D26" s="159"/>
    </row>
  </sheetData>
  <mergeCells count="21">
    <mergeCell ref="B2:D2"/>
    <mergeCell ref="B3:D3"/>
    <mergeCell ref="B5:D5"/>
    <mergeCell ref="C6:D6"/>
    <mergeCell ref="C7:D7"/>
    <mergeCell ref="C8:D8"/>
    <mergeCell ref="C9:D9"/>
    <mergeCell ref="B11:D11"/>
    <mergeCell ref="C12:D12"/>
    <mergeCell ref="C13:D13"/>
    <mergeCell ref="B10:D10"/>
    <mergeCell ref="C14:D14"/>
    <mergeCell ref="C15:D15"/>
    <mergeCell ref="B17:D17"/>
    <mergeCell ref="B19:D19"/>
    <mergeCell ref="C20:D20"/>
    <mergeCell ref="C21:D21"/>
    <mergeCell ref="C22:D22"/>
    <mergeCell ref="C23:D23"/>
    <mergeCell ref="C24:D24"/>
    <mergeCell ref="B26:D26"/>
  </mergeCells>
  <conditionalFormatting sqref="B10:D10">
    <cfRule type="expression" dxfId="0" priority="1">
      <formula>$B$10&lt;&gt;""</formula>
    </cfRule>
  </conditionalFormatting>
  <pageMargins left="0.75" right="0.75" top="1" bottom="1"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C55A11"/>
  </sheetPr>
  <dimension ref="B2:H32"/>
  <sheetViews>
    <sheetView zoomScaleNormal="100" workbookViewId="0">
      <pane xSplit="1" ySplit="4" topLeftCell="B5" activePane="bottomRight" state="frozen"/>
      <selection pane="topRight" activeCell="B1" sqref="B1"/>
      <selection pane="bottomLeft" activeCell="A5" sqref="A5"/>
      <selection pane="bottomRight" activeCell="E26" sqref="E26"/>
    </sheetView>
  </sheetViews>
  <sheetFormatPr defaultColWidth="8.6328125" defaultRowHeight="14.5" x14ac:dyDescent="0.35"/>
  <cols>
    <col min="1" max="1" width="2" style="3" customWidth="1"/>
    <col min="2" max="2" width="22" style="3" customWidth="1"/>
    <col min="3" max="3" width="30" style="3" customWidth="1"/>
    <col min="4" max="4" width="22" style="3" customWidth="1"/>
    <col min="5" max="5" width="46" style="3" customWidth="1"/>
    <col min="6" max="6" width="30" style="3" customWidth="1"/>
    <col min="7" max="7" width="28" style="3" customWidth="1"/>
    <col min="8" max="8" width="34" style="3" customWidth="1"/>
    <col min="9" max="16384" width="8.6328125" style="3"/>
  </cols>
  <sheetData>
    <row r="2" spans="2:8" ht="25.5" customHeight="1" x14ac:dyDescent="0.35">
      <c r="B2" s="187" t="s">
        <v>1174</v>
      </c>
      <c r="C2" s="187"/>
      <c r="D2" s="187"/>
      <c r="E2" s="187"/>
      <c r="F2" s="187"/>
      <c r="G2" s="187"/>
      <c r="H2" s="187"/>
    </row>
    <row r="3" spans="2:8" ht="66" customHeight="1" x14ac:dyDescent="0.35">
      <c r="B3" s="152" t="s">
        <v>1579</v>
      </c>
      <c r="C3" s="152"/>
      <c r="D3" s="152"/>
      <c r="E3" s="152"/>
      <c r="F3" s="152"/>
      <c r="G3" s="152"/>
      <c r="H3" s="152"/>
    </row>
    <row r="5" spans="2:8" ht="18" customHeight="1" x14ac:dyDescent="0.35">
      <c r="B5" s="142" t="s">
        <v>1175</v>
      </c>
      <c r="C5" s="142"/>
      <c r="D5" s="142"/>
      <c r="E5" s="142"/>
      <c r="F5" s="142"/>
      <c r="G5" s="142"/>
      <c r="H5" s="142"/>
    </row>
    <row r="6" spans="2:8" ht="25.5" customHeight="1" x14ac:dyDescent="0.35">
      <c r="B6" s="63" t="s">
        <v>1176</v>
      </c>
      <c r="C6" s="185" t="str">
        <f>'A. Screen Engine (Ref)'!$C$18</f>
        <v>—</v>
      </c>
      <c r="D6" s="185"/>
      <c r="E6" s="185"/>
      <c r="F6" s="185"/>
      <c r="G6" s="185"/>
      <c r="H6" s="185"/>
    </row>
    <row r="7" spans="2:8" ht="25.5" customHeight="1" x14ac:dyDescent="0.35">
      <c r="B7" s="63" t="s">
        <v>1177</v>
      </c>
      <c r="C7" s="185" t="str">
        <f>'A. Screen Engine (Ref)'!$C$19</f>
        <v>—</v>
      </c>
      <c r="D7" s="185"/>
      <c r="E7" s="185"/>
      <c r="F7" s="185"/>
      <c r="G7" s="185"/>
      <c r="H7" s="185"/>
    </row>
    <row r="8" spans="2:8" ht="33.75" customHeight="1" x14ac:dyDescent="0.35">
      <c r="B8" s="63" t="s">
        <v>91</v>
      </c>
      <c r="C8" s="185" t="str">
        <f>'4. Tool 01B DD Checklist'!$D$23</f>
        <v>Rate the questions above to generate a decision</v>
      </c>
      <c r="D8" s="185"/>
      <c r="E8" s="185"/>
      <c r="F8" s="185"/>
      <c r="G8" s="185"/>
      <c r="H8" s="185"/>
    </row>
    <row r="9" spans="2:8" ht="30" customHeight="1" x14ac:dyDescent="0.35">
      <c r="B9" s="50" t="s">
        <v>1178</v>
      </c>
      <c r="C9" s="186" t="str">
        <f>IF(OR($C$8="—",LEFT($C$8,4)="Rate"),"Not yet rated: complete Tool 01B for the identified archetype",IF(ISNUMBER(SEARCH("NO-GO",$C$8)),"NO-GO PENDING RESOLUTION",IF(ISNUMBER(SEARCH("HOLD",$C$8)),"HOLD &amp; STRUCTURE","GO")))</f>
        <v>Not yet rated: complete Tool 01B for the identified archetype</v>
      </c>
      <c r="D9" s="186"/>
      <c r="E9" s="186"/>
      <c r="F9" s="186"/>
      <c r="G9" s="186"/>
      <c r="H9" s="186"/>
    </row>
    <row r="10" spans="2:8" ht="15" customHeight="1" x14ac:dyDescent="0.35">
      <c r="B10" s="64" t="s">
        <v>92</v>
      </c>
      <c r="C10" s="65" t="str">
        <f>IF(LEFT($C$9,3)="Not","",TEXT($D$10,"00")&amp;"|"&amp;$C$7&amp;"|"&amp;$C$9)</f>
        <v/>
      </c>
      <c r="D10" s="65" t="str">
        <f>IFERROR(VALUE('A. Screen Engine (Ref)'!$C$17),"")</f>
        <v/>
      </c>
      <c r="E10" s="65">
        <f>8</f>
        <v>8</v>
      </c>
      <c r="F10" s="66">
        <f>'A. Screen Engine (Ref)'!$C$20</f>
        <v>0</v>
      </c>
    </row>
    <row r="11" spans="2:8" ht="78" customHeight="1" x14ac:dyDescent="0.35">
      <c r="B11" s="67" t="s">
        <v>93</v>
      </c>
      <c r="C11" s="183" t="str">
        <f>IFERROR(INDEX('D. Feedback Library (Ref)'!$D$17:$D$61,MATCH($C$10,'D. Feedback Library (Ref)'!$B$17:$B$61,0)),"(Complete the Tool 01A screen and rate Tool 01B)")</f>
        <v>(Complete the Tool 01A screen and rate Tool 01B)</v>
      </c>
      <c r="D11" s="183"/>
      <c r="E11" s="183"/>
      <c r="F11" s="183"/>
      <c r="G11" s="183"/>
      <c r="H11" s="183"/>
    </row>
    <row r="12" spans="2:8" ht="78" customHeight="1" x14ac:dyDescent="0.35">
      <c r="B12" s="67" t="s">
        <v>94</v>
      </c>
      <c r="C12" s="183" t="str">
        <f>IFERROR(INDEX('D. Feedback Library (Ref)'!$E$17:$E$61,MATCH($C$10,'D. Feedback Library (Ref)'!$B$17:$B$61,0)),"(Complete the Tool 01A screen and rate Tool 01B)")</f>
        <v>(Complete the Tool 01A screen and rate Tool 01B)</v>
      </c>
      <c r="D12" s="183"/>
      <c r="E12" s="183"/>
      <c r="F12" s="183"/>
      <c r="G12" s="183"/>
      <c r="H12" s="183"/>
    </row>
    <row r="13" spans="2:8" ht="78" customHeight="1" x14ac:dyDescent="0.35">
      <c r="B13" s="67" t="s">
        <v>95</v>
      </c>
      <c r="C13" s="183" t="str">
        <f>IFERROR(INDEX('D. Feedback Library (Ref)'!$F$17:$F$61,MATCH($C$10,'D. Feedback Library (Ref)'!$B$17:$B$61,0)),"(Complete the Tool 01A screen and rate Tool 01B)")</f>
        <v>(Complete the Tool 01A screen and rate Tool 01B)</v>
      </c>
      <c r="D13" s="183"/>
      <c r="E13" s="183"/>
      <c r="F13" s="183"/>
      <c r="G13" s="183"/>
      <c r="H13" s="183"/>
    </row>
    <row r="14" spans="2:8" ht="78" customHeight="1" x14ac:dyDescent="0.35">
      <c r="B14" s="67" t="s">
        <v>1179</v>
      </c>
      <c r="C14" s="183" t="str">
        <f>IFERROR(INDEX('D. Feedback Library (Ref)'!$G$17:$G$61,MATCH($C$10,'D. Feedback Library (Ref)'!$B$17:$B$61,0)),"(Complete the Tool 01A screen and rate Tool 01B)")</f>
        <v>(Complete the Tool 01A screen and rate Tool 01B)</v>
      </c>
      <c r="D14" s="183"/>
      <c r="E14" s="183"/>
      <c r="F14" s="183"/>
      <c r="G14" s="183"/>
      <c r="H14" s="183"/>
    </row>
    <row r="15" spans="2:8" ht="78" customHeight="1" x14ac:dyDescent="0.35">
      <c r="B15" s="67" t="s">
        <v>1180</v>
      </c>
      <c r="C15" s="183" t="str">
        <f>IFERROR(INDEX('D. Feedback Library (Ref)'!$H$17:$H$61,MATCH($C$10,'D. Feedback Library (Ref)'!$B$17:$B$61,0)),"(Complete the Tool 01A screen and rate Tool 01B)")</f>
        <v>(Complete the Tool 01A screen and rate Tool 01B)</v>
      </c>
      <c r="D15" s="183"/>
      <c r="E15" s="183"/>
      <c r="F15" s="183"/>
      <c r="G15" s="183"/>
      <c r="H15" s="183"/>
    </row>
    <row r="17" spans="2:8" ht="18" customHeight="1" x14ac:dyDescent="0.35">
      <c r="B17" s="142" t="s">
        <v>1181</v>
      </c>
      <c r="C17" s="142"/>
      <c r="D17" s="142"/>
      <c r="E17" s="142"/>
      <c r="F17" s="142"/>
      <c r="G17" s="142"/>
      <c r="H17" s="142"/>
    </row>
    <row r="18" spans="2:8" ht="36" customHeight="1" x14ac:dyDescent="0.35">
      <c r="B18" s="152" t="s">
        <v>1487</v>
      </c>
      <c r="C18" s="152"/>
      <c r="D18" s="152"/>
      <c r="E18" s="152"/>
      <c r="F18" s="152"/>
      <c r="G18" s="152"/>
      <c r="H18" s="152"/>
    </row>
    <row r="19" spans="2:8" ht="30" customHeight="1" x14ac:dyDescent="0.35">
      <c r="B19" s="9" t="s">
        <v>50</v>
      </c>
      <c r="C19" s="9" t="s">
        <v>73</v>
      </c>
      <c r="D19" s="9" t="s">
        <v>96</v>
      </c>
      <c r="E19" s="9" t="s">
        <v>97</v>
      </c>
      <c r="F19" s="184" t="s">
        <v>1182</v>
      </c>
      <c r="G19" s="184"/>
      <c r="H19" s="37" t="s">
        <v>98</v>
      </c>
    </row>
    <row r="20" spans="2:8" ht="87.75" customHeight="1" x14ac:dyDescent="0.35">
      <c r="B20" s="44" t="str">
        <f>IF(OR($E$10="",1&gt;$F$10),"",INDEX('4. Tool 01B DD Checklist'!$B$1:$B$100,$E$10+0))</f>
        <v/>
      </c>
      <c r="C20" s="45" t="str">
        <f>IF(OR($E$10="",1&gt;$F$10),"",INDEX('4. Tool 01B DD Checklist'!$C$1:$C$100,$E$10+0))</f>
        <v/>
      </c>
      <c r="D20" s="69" t="str">
        <f>IF(OR($E$10="",1&gt;$F$10),"",IF(INDEX('4. Tool 01B DD Checklist'!$H$1:$H$100,$E$10+0)="","Not yet rated",INDEX('4. Tool 01B DD Checklist'!$H$1:$H$100,$E$10+0)))</f>
        <v/>
      </c>
      <c r="E20" s="45" t="str">
        <f>IF(OR($E$10="",1&gt;$F$10),"",IF(OR(INDEX('4. Tool 01B DD Checklist'!$H$1:$H$100,$E$10+0)="",INDEX('4. Tool 01B DD Checklist'!$H$1:$H$100,$E$10+0)="Not rated"),"Rate this question in Tool 01B to see the diagnosis.",IF(INDEX('4. Tool 01B DD Checklist'!$H$1:$H$100,$E$10+0)="Green","At or above the stage benchmark: "&amp;INDEX('4. Tool 01B DD Checklist'!$D$1:$D$100,$E$10+0),"Your position reads as: "&amp;IF(INDEX('4. Tool 01B DD Checklist'!$H$1:$H$100,$E$10+0)="Amber",INDEX('4. Tool 01B DD Checklist'!$E$1:$E$100,$E$10+0),INDEX('4. Tool 01B DD Checklist'!$F$1:$F$100,$E$10+0)))))</f>
        <v/>
      </c>
      <c r="F20" s="181" t="str">
        <f>IF(OR($E$10="",1&gt;$F$10),"",IF(OR(INDEX('4. Tool 01B DD Checklist'!$H$1:$H$100,$E$10+0)="",INDEX('4. Tool 01B DD Checklist'!$H$1:$H$100,$E$10+0)="Not rated"),"",IF(INDEX('4. Tool 01B DD Checklist'!$H$1:$H$100,$E$10+0)="Green","Maintain: this is already the Green standard at the "&amp;'4. Tool 01B DD Checklist'!$F$4&amp;" bar.","To clear this question at the "&amp;'4. Tool 01B DD Checklist'!$F$4&amp;" bar: "&amp;INDEX('4. Tool 01B DD Checklist'!$D$1:$D$100,$E$10+0))))</f>
        <v/>
      </c>
      <c r="G20" s="181"/>
      <c r="H20" s="44" t="str">
        <f>IF(OR($E$10="",1&gt;$F$10),"",IF(INDEX('4. Tool 01B DD Checklist'!$G$1:$G$100,$E$10+0)="✔",IF(INDEX('4. Tool 01B DD Checklist'!$H$1:$H$100,$E$10+0)="Red","✔ GATING: this Red rating drives the NO-GO",IF(INDEX('4. Tool 01B DD Checklist'!$H$1:$H$100,$E$10+0)="Amber","✔ gating: cannot be offset by strengths elsewhere","✔ gating")),""))</f>
        <v/>
      </c>
    </row>
    <row r="21" spans="2:8" ht="87.75" customHeight="1" x14ac:dyDescent="0.35">
      <c r="B21" s="44" t="str">
        <f>IF(OR($E$10="",2&gt;$F$10),"",INDEX('4. Tool 01B DD Checklist'!$B$1:$B$100,$E$10+1))</f>
        <v/>
      </c>
      <c r="C21" s="45" t="str">
        <f>IF(OR($E$10="",2&gt;$F$10),"",INDEX('4. Tool 01B DD Checklist'!$C$1:$C$100,$E$10+1))</f>
        <v/>
      </c>
      <c r="D21" s="69" t="str">
        <f>IF(OR($E$10="",2&gt;$F$10),"",IF(INDEX('4. Tool 01B DD Checklist'!$H$1:$H$100,$E$10+1)="","Not yet rated",INDEX('4. Tool 01B DD Checklist'!$H$1:$H$100,$E$10+1)))</f>
        <v/>
      </c>
      <c r="E21" s="45" t="str">
        <f>IF(OR($E$10="",2&gt;$F$10),"",IF(OR(INDEX('4. Tool 01B DD Checklist'!$H$1:$H$100,$E$10+1)="",INDEX('4. Tool 01B DD Checklist'!$H$1:$H$100,$E$10+1)="Not rated"),"Rate this question in Tool 01B to see the diagnosis.",IF(INDEX('4. Tool 01B DD Checklist'!$H$1:$H$100,$E$10+1)="Green","At or above the stage benchmark: "&amp;INDEX('4. Tool 01B DD Checklist'!$D$1:$D$100,$E$10+1),"Your position reads as: "&amp;IF(INDEX('4. Tool 01B DD Checklist'!$H$1:$H$100,$E$10+1)="Amber",INDEX('4. Tool 01B DD Checklist'!$E$1:$E$100,$E$10+1),INDEX('4. Tool 01B DD Checklist'!$F$1:$F$100,$E$10+1)))))</f>
        <v/>
      </c>
      <c r="F21" s="181" t="str">
        <f>IF(OR($E$10="",2&gt;$F$10),"",IF(OR(INDEX('4. Tool 01B DD Checklist'!$H$1:$H$100,$E$10+1)="",INDEX('4. Tool 01B DD Checklist'!$H$1:$H$100,$E$10+1)="Not rated"),"",IF(INDEX('4. Tool 01B DD Checklist'!$H$1:$H$100,$E$10+1)="Green","Maintain: this is already the Green standard at the "&amp;'4. Tool 01B DD Checklist'!$F$4&amp;" bar.","To clear this question at the "&amp;'4. Tool 01B DD Checklist'!$F$4&amp;" bar: "&amp;INDEX('4. Tool 01B DD Checklist'!$D$1:$D$100,$E$10+1))))</f>
        <v/>
      </c>
      <c r="G21" s="181"/>
      <c r="H21" s="44" t="str">
        <f>IF(OR($E$10="",2&gt;$F$10),"",IF(INDEX('4. Tool 01B DD Checklist'!$G$1:$G$100,$E$10+1)="✔",IF(INDEX('4. Tool 01B DD Checklist'!$H$1:$H$100,$E$10+1)="Red","✔ GATING: this Red rating drives the NO-GO",IF(INDEX('4. Tool 01B DD Checklist'!$H$1:$H$100,$E$10+1)="Amber","✔ gating: cannot be offset by strengths elsewhere","✔ gating")),""))</f>
        <v/>
      </c>
    </row>
    <row r="22" spans="2:8" ht="87.75" customHeight="1" x14ac:dyDescent="0.35">
      <c r="B22" s="44" t="str">
        <f>IF(OR($E$10="",3&gt;$F$10),"",INDEX('4. Tool 01B DD Checklist'!$B$1:$B$100,$E$10+2))</f>
        <v/>
      </c>
      <c r="C22" s="45" t="str">
        <f>IF(OR($E$10="",3&gt;$F$10),"",INDEX('4. Tool 01B DD Checklist'!$C$1:$C$100,$E$10+2))</f>
        <v/>
      </c>
      <c r="D22" s="69" t="str">
        <f>IF(OR($E$10="",3&gt;$F$10),"",IF(INDEX('4. Tool 01B DD Checklist'!$H$1:$H$100,$E$10+2)="","Not yet rated",INDEX('4. Tool 01B DD Checklist'!$H$1:$H$100,$E$10+2)))</f>
        <v/>
      </c>
      <c r="E22" s="45" t="str">
        <f>IF(OR($E$10="",3&gt;$F$10),"",IF(OR(INDEX('4. Tool 01B DD Checklist'!$H$1:$H$100,$E$10+2)="",INDEX('4. Tool 01B DD Checklist'!$H$1:$H$100,$E$10+2)="Not rated"),"Rate this question in Tool 01B to see the diagnosis.",IF(INDEX('4. Tool 01B DD Checklist'!$H$1:$H$100,$E$10+2)="Green","At or above the stage benchmark: "&amp;INDEX('4. Tool 01B DD Checklist'!$D$1:$D$100,$E$10+2),"Your position reads as: "&amp;IF(INDEX('4. Tool 01B DD Checklist'!$H$1:$H$100,$E$10+2)="Amber",INDEX('4. Tool 01B DD Checklist'!$E$1:$E$100,$E$10+2),INDEX('4. Tool 01B DD Checklist'!$F$1:$F$100,$E$10+2)))))</f>
        <v/>
      </c>
      <c r="F22" s="181" t="str">
        <f>IF(OR($E$10="",3&gt;$F$10),"",IF(OR(INDEX('4. Tool 01B DD Checklist'!$H$1:$H$100,$E$10+2)="",INDEX('4. Tool 01B DD Checklist'!$H$1:$H$100,$E$10+2)="Not rated"),"",IF(INDEX('4. Tool 01B DD Checklist'!$H$1:$H$100,$E$10+2)="Green","Maintain: this is already the Green standard at the "&amp;'4. Tool 01B DD Checklist'!$F$4&amp;" bar.","To clear this question at the "&amp;'4. Tool 01B DD Checklist'!$F$4&amp;" bar: "&amp;INDEX('4. Tool 01B DD Checklist'!$D$1:$D$100,$E$10+2))))</f>
        <v/>
      </c>
      <c r="G22" s="181"/>
      <c r="H22" s="44" t="str">
        <f>IF(OR($E$10="",3&gt;$F$10),"",IF(INDEX('4. Tool 01B DD Checklist'!$G$1:$G$100,$E$10+2)="✔",IF(INDEX('4. Tool 01B DD Checklist'!$H$1:$H$100,$E$10+2)="Red","✔ GATING: this Red rating drives the NO-GO",IF(INDEX('4. Tool 01B DD Checklist'!$H$1:$H$100,$E$10+2)="Amber","✔ gating: cannot be offset by strengths elsewhere","✔ gating")),""))</f>
        <v/>
      </c>
    </row>
    <row r="23" spans="2:8" ht="87.75" customHeight="1" x14ac:dyDescent="0.35">
      <c r="B23" s="44" t="str">
        <f>IF(OR($E$10="",4&gt;$F$10),"",INDEX('4. Tool 01B DD Checklist'!$B$1:$B$100,$E$10+3))</f>
        <v/>
      </c>
      <c r="C23" s="45" t="str">
        <f>IF(OR($E$10="",4&gt;$F$10),"",INDEX('4. Tool 01B DD Checklist'!$C$1:$C$100,$E$10+3))</f>
        <v/>
      </c>
      <c r="D23" s="69" t="str">
        <f>IF(OR($E$10="",4&gt;$F$10),"",IF(INDEX('4. Tool 01B DD Checklist'!$H$1:$H$100,$E$10+3)="","Not yet rated",INDEX('4. Tool 01B DD Checklist'!$H$1:$H$100,$E$10+3)))</f>
        <v/>
      </c>
      <c r="E23" s="45" t="str">
        <f>IF(OR($E$10="",4&gt;$F$10),"",IF(OR(INDEX('4. Tool 01B DD Checklist'!$H$1:$H$100,$E$10+3)="",INDEX('4. Tool 01B DD Checklist'!$H$1:$H$100,$E$10+3)="Not rated"),"Rate this question in Tool 01B to see the diagnosis.",IF(INDEX('4. Tool 01B DD Checklist'!$H$1:$H$100,$E$10+3)="Green","At or above the stage benchmark: "&amp;INDEX('4. Tool 01B DD Checklist'!$D$1:$D$100,$E$10+3),"Your position reads as: "&amp;IF(INDEX('4. Tool 01B DD Checklist'!$H$1:$H$100,$E$10+3)="Amber",INDEX('4. Tool 01B DD Checklist'!$E$1:$E$100,$E$10+3),INDEX('4. Tool 01B DD Checklist'!$F$1:$F$100,$E$10+3)))))</f>
        <v/>
      </c>
      <c r="F23" s="181" t="str">
        <f>IF(OR($E$10="",4&gt;$F$10),"",IF(OR(INDEX('4. Tool 01B DD Checklist'!$H$1:$H$100,$E$10+3)="",INDEX('4. Tool 01B DD Checklist'!$H$1:$H$100,$E$10+3)="Not rated"),"",IF(INDEX('4. Tool 01B DD Checklist'!$H$1:$H$100,$E$10+3)="Green","Maintain: this is already the Green standard at the "&amp;'4. Tool 01B DD Checklist'!$F$4&amp;" bar.","To clear this question at the "&amp;'4. Tool 01B DD Checklist'!$F$4&amp;" bar: "&amp;INDEX('4. Tool 01B DD Checklist'!$D$1:$D$100,$E$10+3))))</f>
        <v/>
      </c>
      <c r="G23" s="181"/>
      <c r="H23" s="44" t="str">
        <f>IF(OR($E$10="",4&gt;$F$10),"",IF(INDEX('4. Tool 01B DD Checklist'!$G$1:$G$100,$E$10+3)="✔",IF(INDEX('4. Tool 01B DD Checklist'!$H$1:$H$100,$E$10+3)="Red","✔ GATING: this Red rating drives the NO-GO",IF(INDEX('4. Tool 01B DD Checklist'!$H$1:$H$100,$E$10+3)="Amber","✔ gating: cannot be offset by strengths elsewhere","✔ gating")),""))</f>
        <v/>
      </c>
    </row>
    <row r="24" spans="2:8" ht="87.75" customHeight="1" x14ac:dyDescent="0.35">
      <c r="B24" s="44" t="str">
        <f>IF(OR($E$10="",5&gt;$F$10),"",INDEX('4. Tool 01B DD Checklist'!$B$1:$B$100,$E$10+4))</f>
        <v/>
      </c>
      <c r="C24" s="45" t="str">
        <f>IF(OR($E$10="",5&gt;$F$10),"",INDEX('4. Tool 01B DD Checklist'!$C$1:$C$100,$E$10+4))</f>
        <v/>
      </c>
      <c r="D24" s="69" t="str">
        <f>IF(OR($E$10="",5&gt;$F$10),"",IF(INDEX('4. Tool 01B DD Checklist'!$H$1:$H$100,$E$10+4)="","Not yet rated",INDEX('4. Tool 01B DD Checklist'!$H$1:$H$100,$E$10+4)))</f>
        <v/>
      </c>
      <c r="E24" s="45" t="str">
        <f>IF(OR($E$10="",5&gt;$F$10),"",IF(OR(INDEX('4. Tool 01B DD Checklist'!$H$1:$H$100,$E$10+4)="",INDEX('4. Tool 01B DD Checklist'!$H$1:$H$100,$E$10+4)="Not rated"),"Rate this question in Tool 01B to see the diagnosis.",IF(INDEX('4. Tool 01B DD Checklist'!$H$1:$H$100,$E$10+4)="Green","At or above the stage benchmark: "&amp;INDEX('4. Tool 01B DD Checklist'!$D$1:$D$100,$E$10+4),"Your position reads as: "&amp;IF(INDEX('4. Tool 01B DD Checklist'!$H$1:$H$100,$E$10+4)="Amber",INDEX('4. Tool 01B DD Checklist'!$E$1:$E$100,$E$10+4),INDEX('4. Tool 01B DD Checklist'!$F$1:$F$100,$E$10+4)))))</f>
        <v/>
      </c>
      <c r="F24" s="181" t="str">
        <f>IF(OR($E$10="",5&gt;$F$10),"",IF(OR(INDEX('4. Tool 01B DD Checklist'!$H$1:$H$100,$E$10+4)="",INDEX('4. Tool 01B DD Checklist'!$H$1:$H$100,$E$10+4)="Not rated"),"",IF(INDEX('4. Tool 01B DD Checklist'!$H$1:$H$100,$E$10+4)="Green","Maintain: this is already the Green standard at the "&amp;'4. Tool 01B DD Checklist'!$F$4&amp;" bar.","To clear this question at the "&amp;'4. Tool 01B DD Checklist'!$F$4&amp;" bar: "&amp;INDEX('4. Tool 01B DD Checklist'!$D$1:$D$100,$E$10+4))))</f>
        <v/>
      </c>
      <c r="G24" s="181"/>
      <c r="H24" s="44" t="str">
        <f>IF(OR($E$10="",5&gt;$F$10),"",IF(INDEX('4. Tool 01B DD Checklist'!$G$1:$G$100,$E$10+4)="✔",IF(INDEX('4. Tool 01B DD Checklist'!$H$1:$H$100,$E$10+4)="Red","✔ GATING: this Red rating drives the NO-GO",IF(INDEX('4. Tool 01B DD Checklist'!$H$1:$H$100,$E$10+4)="Amber","✔ gating: cannot be offset by strengths elsewhere","✔ gating")),""))</f>
        <v/>
      </c>
    </row>
    <row r="25" spans="2:8" ht="87.75" customHeight="1" x14ac:dyDescent="0.35">
      <c r="B25" s="44" t="str">
        <f>IF(OR($E$10="",6&gt;$F$10),"",INDEX('4. Tool 01B DD Checklist'!$B$1:$B$100,$E$10+5))</f>
        <v/>
      </c>
      <c r="C25" s="45" t="str">
        <f>IF(OR($E$10="",6&gt;$F$10),"",INDEX('4. Tool 01B DD Checklist'!$C$1:$C$100,$E$10+5))</f>
        <v/>
      </c>
      <c r="D25" s="69" t="str">
        <f>IF(OR($E$10="",6&gt;$F$10),"",IF(INDEX('4. Tool 01B DD Checklist'!$H$1:$H$100,$E$10+5)="","Not yet rated",INDEX('4. Tool 01B DD Checklist'!$H$1:$H$100,$E$10+5)))</f>
        <v/>
      </c>
      <c r="E25" s="45" t="str">
        <f>IF(OR($E$10="",6&gt;$F$10),"",IF(OR(INDEX('4. Tool 01B DD Checklist'!$H$1:$H$100,$E$10+5)="",INDEX('4. Tool 01B DD Checklist'!$H$1:$H$100,$E$10+5)="Not rated"),"Rate this question in Tool 01B to see the diagnosis.",IF(INDEX('4. Tool 01B DD Checklist'!$H$1:$H$100,$E$10+5)="Green","At or above the stage benchmark: "&amp;INDEX('4. Tool 01B DD Checklist'!$D$1:$D$100,$E$10+5),"Your position reads as: "&amp;IF(INDEX('4. Tool 01B DD Checklist'!$H$1:$H$100,$E$10+5)="Amber",INDEX('4. Tool 01B DD Checklist'!$E$1:$E$100,$E$10+5),INDEX('4. Tool 01B DD Checklist'!$F$1:$F$100,$E$10+5)))))</f>
        <v/>
      </c>
      <c r="F25" s="181" t="str">
        <f>IF(OR($E$10="",6&gt;$F$10),"",IF(OR(INDEX('4. Tool 01B DD Checklist'!$H$1:$H$100,$E$10+5)="",INDEX('4. Tool 01B DD Checklist'!$H$1:$H$100,$E$10+5)="Not rated"),"",IF(INDEX('4. Tool 01B DD Checklist'!$H$1:$H$100,$E$10+5)="Green","Maintain: this is already the Green standard at the "&amp;'4. Tool 01B DD Checklist'!$F$4&amp;" bar.","To clear this question at the "&amp;'4. Tool 01B DD Checklist'!$F$4&amp;" bar: "&amp;INDEX('4. Tool 01B DD Checklist'!$D$1:$D$100,$E$10+5))))</f>
        <v/>
      </c>
      <c r="G25" s="181"/>
      <c r="H25" s="44" t="str">
        <f>IF(OR($E$10="",6&gt;$F$10),"",IF(INDEX('4. Tool 01B DD Checklist'!$G$1:$G$100,$E$10+5)="✔",IF(INDEX('4. Tool 01B DD Checklist'!$H$1:$H$100,$E$10+5)="Red","✔ GATING: this Red rating drives the NO-GO",IF(INDEX('4. Tool 01B DD Checklist'!$H$1:$H$100,$E$10+5)="Amber","✔ gating: cannot be offset by strengths elsewhere","✔ gating")),""))</f>
        <v/>
      </c>
    </row>
    <row r="26" spans="2:8" ht="87.75" customHeight="1" x14ac:dyDescent="0.35">
      <c r="B26" s="44" t="str">
        <f>IF(OR($E$10="",7&gt;$F$10),"",INDEX('4. Tool 01B DD Checklist'!$B$1:$B$100,$E$10+6))</f>
        <v/>
      </c>
      <c r="C26" s="45" t="str">
        <f>IF(OR($E$10="",7&gt;$F$10),"",INDEX('4. Tool 01B DD Checklist'!$C$1:$C$100,$E$10+6))</f>
        <v/>
      </c>
      <c r="D26" s="69" t="str">
        <f>IF(OR($E$10="",7&gt;$F$10),"",IF(INDEX('4. Tool 01B DD Checklist'!$H$1:$H$100,$E$10+6)="","Not yet rated",INDEX('4. Tool 01B DD Checklist'!$H$1:$H$100,$E$10+6)))</f>
        <v/>
      </c>
      <c r="E26" s="45" t="str">
        <f>IF(OR($E$10="",7&gt;$F$10),"",IF(OR(INDEX('4. Tool 01B DD Checklist'!$H$1:$H$100,$E$10+6)="",INDEX('4. Tool 01B DD Checklist'!$H$1:$H$100,$E$10+6)="Not rated"),"Rate this question in Tool 01B to see the diagnosis.",IF(INDEX('4. Tool 01B DD Checklist'!$H$1:$H$100,$E$10+6)="Green","At or above the stage benchmark: "&amp;INDEX('4. Tool 01B DD Checklist'!$D$1:$D$100,$E$10+6),"Your position reads as: "&amp;IF(INDEX('4. Tool 01B DD Checklist'!$H$1:$H$100,$E$10+6)="Amber",INDEX('4. Tool 01B DD Checklist'!$E$1:$E$100,$E$10+6),INDEX('4. Tool 01B DD Checklist'!$F$1:$F$100,$E$10+6)))))</f>
        <v/>
      </c>
      <c r="F26" s="181" t="str">
        <f>IF(OR($E$10="",7&gt;$F$10),"",IF(OR(INDEX('4. Tool 01B DD Checklist'!$H$1:$H$100,$E$10+6)="",INDEX('4. Tool 01B DD Checklist'!$H$1:$H$100,$E$10+6)="Not rated"),"",IF(INDEX('4. Tool 01B DD Checklist'!$H$1:$H$100,$E$10+6)="Green","Maintain: this is already the Green standard at the "&amp;'4. Tool 01B DD Checklist'!$F$4&amp;" bar.","To clear this question at the "&amp;'4. Tool 01B DD Checklist'!$F$4&amp;" bar: "&amp;INDEX('4. Tool 01B DD Checklist'!$D$1:$D$100,$E$10+6))))</f>
        <v/>
      </c>
      <c r="G26" s="181"/>
      <c r="H26" s="44" t="str">
        <f>IF(OR($E$10="",7&gt;$F$10),"",IF(INDEX('4. Tool 01B DD Checklist'!$G$1:$G$100,$E$10+6)="✔",IF(INDEX('4. Tool 01B DD Checklist'!$H$1:$H$100,$E$10+6)="Red","✔ GATING: this Red rating drives the NO-GO",IF(INDEX('4. Tool 01B DD Checklist'!$H$1:$H$100,$E$10+6)="Amber","✔ gating: cannot be offset by strengths elsewhere","✔ gating")),""))</f>
        <v/>
      </c>
    </row>
    <row r="27" spans="2:8" ht="87.75" customHeight="1" x14ac:dyDescent="0.35">
      <c r="B27" s="44" t="str">
        <f>IF(OR($E$10="",8&gt;$F$10),"",INDEX('4. Tool 01B DD Checklist'!$B$1:$B$100,$E$10+7))</f>
        <v/>
      </c>
      <c r="C27" s="45" t="str">
        <f>IF(OR($E$10="",8&gt;$F$10),"",INDEX('4. Tool 01B DD Checklist'!$C$1:$C$100,$E$10+7))</f>
        <v/>
      </c>
      <c r="D27" s="69" t="str">
        <f>IF(OR($E$10="",8&gt;$F$10),"",IF(INDEX('4. Tool 01B DD Checklist'!$H$1:$H$100,$E$10+7)="","Not yet rated",INDEX('4. Tool 01B DD Checklist'!$H$1:$H$100,$E$10+7)))</f>
        <v/>
      </c>
      <c r="E27" s="45" t="str">
        <f>IF(OR($E$10="",8&gt;$F$10),"",IF(OR(INDEX('4. Tool 01B DD Checklist'!$H$1:$H$100,$E$10+7)="",INDEX('4. Tool 01B DD Checklist'!$H$1:$H$100,$E$10+7)="Not rated"),"Rate this question in Tool 01B to see the diagnosis.",IF(INDEX('4. Tool 01B DD Checklist'!$H$1:$H$100,$E$10+7)="Green","At or above the stage benchmark: "&amp;INDEX('4. Tool 01B DD Checklist'!$D$1:$D$100,$E$10+7),"Your position reads as: "&amp;IF(INDEX('4. Tool 01B DD Checklist'!$H$1:$H$100,$E$10+7)="Amber",INDEX('4. Tool 01B DD Checklist'!$E$1:$E$100,$E$10+7),INDEX('4. Tool 01B DD Checklist'!$F$1:$F$100,$E$10+7)))))</f>
        <v/>
      </c>
      <c r="F27" s="181" t="str">
        <f>IF(OR($E$10="",8&gt;$F$10),"",IF(OR(INDEX('4. Tool 01B DD Checklist'!$H$1:$H$100,$E$10+7)="",INDEX('4. Tool 01B DD Checklist'!$H$1:$H$100,$E$10+7)="Not rated"),"",IF(INDEX('4. Tool 01B DD Checklist'!$H$1:$H$100,$E$10+7)="Green","Maintain: this is already the Green standard at the "&amp;'4. Tool 01B DD Checklist'!$F$4&amp;" bar.","To clear this question at the "&amp;'4. Tool 01B DD Checklist'!$F$4&amp;" bar: "&amp;INDEX('4. Tool 01B DD Checklist'!$D$1:$D$100,$E$10+7))))</f>
        <v/>
      </c>
      <c r="G27" s="181"/>
      <c r="H27" s="44" t="str">
        <f>IF(OR($E$10="",8&gt;$F$10),"",IF(INDEX('4. Tool 01B DD Checklist'!$G$1:$G$100,$E$10+7)="✔",IF(INDEX('4. Tool 01B DD Checklist'!$H$1:$H$100,$E$10+7)="Red","✔ GATING: this Red rating drives the NO-GO",IF(INDEX('4. Tool 01B DD Checklist'!$H$1:$H$100,$E$10+7)="Amber","✔ gating: cannot be offset by strengths elsewhere","✔ gating")),""))</f>
        <v/>
      </c>
    </row>
    <row r="28" spans="2:8" ht="87.75" customHeight="1" x14ac:dyDescent="0.35">
      <c r="B28" s="44" t="str">
        <f>IF(OR($E$10="",9&gt;$F$10),"",INDEX('4. Tool 01B DD Checklist'!$B$1:$B$100,$E$10+8))</f>
        <v/>
      </c>
      <c r="C28" s="45" t="str">
        <f>IF(OR($E$10="",9&gt;$F$10),"",INDEX('4. Tool 01B DD Checklist'!$C$1:$C$100,$E$10+8))</f>
        <v/>
      </c>
      <c r="D28" s="69" t="str">
        <f>IF(OR($E$10="",9&gt;$F$10),"",IF(INDEX('4. Tool 01B DD Checklist'!$H$1:$H$100,$E$10+8)="","Not yet rated",INDEX('4. Tool 01B DD Checklist'!$H$1:$H$100,$E$10+8)))</f>
        <v/>
      </c>
      <c r="E28" s="45" t="str">
        <f>IF(OR($E$10="",9&gt;$F$10),"",IF(OR(INDEX('4. Tool 01B DD Checklist'!$H$1:$H$100,$E$10+8)="",INDEX('4. Tool 01B DD Checklist'!$H$1:$H$100,$E$10+8)="Not rated"),"Rate this question in Tool 01B to see the diagnosis.",IF(INDEX('4. Tool 01B DD Checklist'!$H$1:$H$100,$E$10+8)="Green","At or above the stage benchmark: "&amp;INDEX('4. Tool 01B DD Checklist'!$D$1:$D$100,$E$10+8),"Your position reads as: "&amp;IF(INDEX('4. Tool 01B DD Checklist'!$H$1:$H$100,$E$10+8)="Amber",INDEX('4. Tool 01B DD Checklist'!$E$1:$E$100,$E$10+8),INDEX('4. Tool 01B DD Checklist'!$F$1:$F$100,$E$10+8)))))</f>
        <v/>
      </c>
      <c r="F28" s="181" t="str">
        <f>IF(OR($E$10="",9&gt;$F$10),"",IF(OR(INDEX('4. Tool 01B DD Checklist'!$H$1:$H$100,$E$10+8)="",INDEX('4. Tool 01B DD Checklist'!$H$1:$H$100,$E$10+8)="Not rated"),"",IF(INDEX('4. Tool 01B DD Checklist'!$H$1:$H$100,$E$10+8)="Green","Maintain: this is already the Green standard at the "&amp;'4. Tool 01B DD Checklist'!$F$4&amp;" bar.","To clear this question at the "&amp;'4. Tool 01B DD Checklist'!$F$4&amp;" bar: "&amp;INDEX('4. Tool 01B DD Checklist'!$D$1:$D$100,$E$10+8))))</f>
        <v/>
      </c>
      <c r="G28" s="181"/>
      <c r="H28" s="44" t="str">
        <f>IF(OR($E$10="",9&gt;$F$10),"",IF(INDEX('4. Tool 01B DD Checklist'!$G$1:$G$100,$E$10+8)="✔",IF(INDEX('4. Tool 01B DD Checklist'!$H$1:$H$100,$E$10+8)="Red","✔ GATING: this Red rating drives the NO-GO",IF(INDEX('4. Tool 01B DD Checklist'!$H$1:$H$100,$E$10+8)="Amber","✔ gating: cannot be offset by strengths elsewhere","✔ gating")),""))</f>
        <v/>
      </c>
    </row>
    <row r="29" spans="2:8" ht="87.75" customHeight="1" x14ac:dyDescent="0.35">
      <c r="B29" s="44" t="str">
        <f>IF(OR($E$10="",10&gt;$F$10),"",INDEX('4. Tool 01B DD Checklist'!$B$1:$B$100,$E$10+9))</f>
        <v/>
      </c>
      <c r="C29" s="45" t="str">
        <f>IF(OR($E$10="",10&gt;$F$10),"",INDEX('4. Tool 01B DD Checklist'!$C$1:$C$100,$E$10+9))</f>
        <v/>
      </c>
      <c r="D29" s="69" t="str">
        <f>IF(OR($E$10="",10&gt;$F$10),"",IF(INDEX('4. Tool 01B DD Checklist'!$H$1:$H$100,$E$10+9)="","Not yet rated",INDEX('4. Tool 01B DD Checklist'!$H$1:$H$100,$E$10+9)))</f>
        <v/>
      </c>
      <c r="E29" s="45" t="str">
        <f>IF(OR($E$10="",10&gt;$F$10),"",IF(OR(INDEX('4. Tool 01B DD Checklist'!$H$1:$H$100,$E$10+9)="",INDEX('4. Tool 01B DD Checklist'!$H$1:$H$100,$E$10+9)="Not rated"),"Rate this question in Tool 01B to see the diagnosis.",IF(INDEX('4. Tool 01B DD Checklist'!$H$1:$H$100,$E$10+9)="Green","At or above the stage benchmark: "&amp;INDEX('4. Tool 01B DD Checklist'!$D$1:$D$100,$E$10+9),"Your position reads as: "&amp;IF(INDEX('4. Tool 01B DD Checklist'!$H$1:$H$100,$E$10+9)="Amber",INDEX('4. Tool 01B DD Checklist'!$E$1:$E$100,$E$10+9),INDEX('4. Tool 01B DD Checklist'!$F$1:$F$100,$E$10+9)))))</f>
        <v/>
      </c>
      <c r="F29" s="181" t="str">
        <f>IF(OR($E$10="",10&gt;$F$10),"",IF(OR(INDEX('4. Tool 01B DD Checklist'!$H$1:$H$100,$E$10+9)="",INDEX('4. Tool 01B DD Checklist'!$H$1:$H$100,$E$10+9)="Not rated"),"",IF(INDEX('4. Tool 01B DD Checklist'!$H$1:$H$100,$E$10+9)="Green","Maintain: this is already the Green standard at the "&amp;'4. Tool 01B DD Checklist'!$F$4&amp;" bar.","To clear this question at the "&amp;'4. Tool 01B DD Checklist'!$F$4&amp;" bar: "&amp;INDEX('4. Tool 01B DD Checklist'!$D$1:$D$100,$E$10+9))))</f>
        <v/>
      </c>
      <c r="G29" s="181"/>
      <c r="H29" s="44" t="str">
        <f>IF(OR($E$10="",10&gt;$F$10),"",IF(INDEX('4. Tool 01B DD Checklist'!$G$1:$G$100,$E$10+9)="✔",IF(INDEX('4. Tool 01B DD Checklist'!$H$1:$H$100,$E$10+9)="Red","✔ GATING: this Red rating drives the NO-GO",IF(INDEX('4. Tool 01B DD Checklist'!$H$1:$H$100,$E$10+9)="Amber","✔ gating: cannot be offset by strengths elsewhere","✔ gating")),""))</f>
        <v/>
      </c>
    </row>
    <row r="30" spans="2:8" ht="87.75" customHeight="1" x14ac:dyDescent="0.35">
      <c r="B30" s="44" t="str">
        <f>IF(OR($E$10="",11&gt;$F$10),"",INDEX('4. Tool 01B DD Checklist'!$B$1:$B$100,$E$10+10))</f>
        <v/>
      </c>
      <c r="C30" s="45" t="str">
        <f>IF(OR($E$10="",11&gt;$F$10),"",INDEX('4. Tool 01B DD Checklist'!$C$1:$C$100,$E$10+10))</f>
        <v/>
      </c>
      <c r="D30" s="69" t="str">
        <f>IF(OR($E$10="",11&gt;$F$10),"",IF(INDEX('4. Tool 01B DD Checklist'!$H$1:$H$100,$E$10+10)="","Not yet rated",INDEX('4. Tool 01B DD Checklist'!$H$1:$H$100,$E$10+10)))</f>
        <v/>
      </c>
      <c r="E30" s="45" t="str">
        <f>IF(OR($E$10="",11&gt;$F$10),"",IF(OR(INDEX('4. Tool 01B DD Checklist'!$H$1:$H$100,$E$10+10)="",INDEX('4. Tool 01B DD Checklist'!$H$1:$H$100,$E$10+10)="Not rated"),"Rate this question in Tool 01B to see the diagnosis.",IF(INDEX('4. Tool 01B DD Checklist'!$H$1:$H$100,$E$10+10)="Green","At or above the stage benchmark: "&amp;INDEX('4. Tool 01B DD Checklist'!$D$1:$D$100,$E$10+10),"Your position reads as: "&amp;IF(INDEX('4. Tool 01B DD Checklist'!$H$1:$H$100,$E$10+10)="Amber",INDEX('4. Tool 01B DD Checklist'!$E$1:$E$100,$E$10+10),INDEX('4. Tool 01B DD Checklist'!$F$1:$F$100,$E$10+10)))))</f>
        <v/>
      </c>
      <c r="F30" s="181" t="str">
        <f>IF(OR($E$10="",11&gt;$F$10),"",IF(OR(INDEX('4. Tool 01B DD Checklist'!$H$1:$H$100,$E$10+10)="",INDEX('4. Tool 01B DD Checklist'!$H$1:$H$100,$E$10+10)="Not rated"),"",IF(INDEX('4. Tool 01B DD Checklist'!$H$1:$H$100,$E$10+10)="Green","Maintain: this is already the Green standard at the "&amp;'4. Tool 01B DD Checklist'!$F$4&amp;" bar.","To clear this question at the "&amp;'4. Tool 01B DD Checklist'!$F$4&amp;" bar: "&amp;INDEX('4. Tool 01B DD Checklist'!$D$1:$D$100,$E$10+10))))</f>
        <v/>
      </c>
      <c r="G30" s="181"/>
      <c r="H30" s="44" t="str">
        <f>IF(OR($E$10="",11&gt;$F$10),"",IF(INDEX('4. Tool 01B DD Checklist'!$G$1:$G$100,$E$10+10)="✔",IF(INDEX('4. Tool 01B DD Checklist'!$H$1:$H$100,$E$10+10)="Red","✔ GATING: this Red rating drives the NO-GO",IF(INDEX('4. Tool 01B DD Checklist'!$H$1:$H$100,$E$10+10)="Amber","✔ gating: cannot be offset by strengths elsewhere","✔ gating")),""))</f>
        <v/>
      </c>
    </row>
    <row r="31" spans="2:8" ht="61.5" customHeight="1" x14ac:dyDescent="0.35">
      <c r="B31" s="67" t="s">
        <v>1183</v>
      </c>
      <c r="C31" s="182" t="str">
        <f>IFERROR(INDEX('A. Screen Engine (Ref)'!$H$35:$H$39,MATCH('A. Screen Engine (Ref)'!$C$17,'A. Screen Engine (Ref)'!$C$35:$C$39,0)),"—")</f>
        <v>—</v>
      </c>
      <c r="D31" s="182"/>
      <c r="E31" s="182"/>
      <c r="F31" s="182"/>
      <c r="G31" s="182"/>
      <c r="H31" s="182"/>
    </row>
    <row r="32" spans="2:8" ht="33.75" customHeight="1" x14ac:dyDescent="0.35">
      <c r="B32" s="148" t="s">
        <v>1488</v>
      </c>
      <c r="C32" s="148"/>
      <c r="D32" s="148"/>
      <c r="E32" s="148"/>
      <c r="F32" s="148"/>
      <c r="G32" s="148"/>
      <c r="H32" s="148"/>
    </row>
  </sheetData>
  <mergeCells count="28">
    <mergeCell ref="B2:H2"/>
    <mergeCell ref="B3:H3"/>
    <mergeCell ref="B5:H5"/>
    <mergeCell ref="C6:H6"/>
    <mergeCell ref="C7:H7"/>
    <mergeCell ref="C8:H8"/>
    <mergeCell ref="C9:H9"/>
    <mergeCell ref="C11:H11"/>
    <mergeCell ref="C12:H12"/>
    <mergeCell ref="C13:H13"/>
    <mergeCell ref="C14:H14"/>
    <mergeCell ref="C15:H15"/>
    <mergeCell ref="B17:H17"/>
    <mergeCell ref="B18:H18"/>
    <mergeCell ref="F19:G19"/>
    <mergeCell ref="F20:G20"/>
    <mergeCell ref="F21:G21"/>
    <mergeCell ref="F22:G22"/>
    <mergeCell ref="F23:G23"/>
    <mergeCell ref="F24:G24"/>
    <mergeCell ref="F30:G30"/>
    <mergeCell ref="C31:H31"/>
    <mergeCell ref="B32:H32"/>
    <mergeCell ref="F25:G25"/>
    <mergeCell ref="F26:G26"/>
    <mergeCell ref="F27:G27"/>
    <mergeCell ref="F28:G28"/>
    <mergeCell ref="F29:G29"/>
  </mergeCells>
  <conditionalFormatting sqref="C9">
    <cfRule type="cellIs" dxfId="11" priority="2" operator="equal">
      <formula>"GO"</formula>
    </cfRule>
    <cfRule type="cellIs" dxfId="10" priority="3" operator="equal">
      <formula>"HOLD &amp; STRUCTURE"</formula>
    </cfRule>
    <cfRule type="cellIs" dxfId="9" priority="4" operator="equal">
      <formula>"NO-GO PENDING RESOLUTION"</formula>
    </cfRule>
  </conditionalFormatting>
  <conditionalFormatting sqref="D20:D30">
    <cfRule type="cellIs" dxfId="8" priority="5" operator="equal">
      <formula>"Green"</formula>
    </cfRule>
    <cfRule type="cellIs" dxfId="7" priority="6" operator="equal">
      <formula>"Amber"</formula>
    </cfRule>
    <cfRule type="cellIs" dxfId="6" priority="7" operator="equal">
      <formula>"Red"</formula>
    </cfRule>
  </conditionalFormatting>
  <dataValidations count="3">
    <dataValidation type="list" sqref="C35" xr:uid="{00000000-0002-0000-0600-000000000000}">
      <formula1>"Product Seller,Access Provider,Network Distributor,Carbon Integrated,Infrastructure Utility"</formula1>
      <formula2>0</formula2>
    </dataValidation>
    <dataValidation type="list" sqref="E35" xr:uid="{00000000-0002-0000-0600-000001000000}">
      <formula1>"Early Stage,Growth Stage,Scale"</formula1>
      <formula2>0</formula2>
    </dataValidation>
    <dataValidation type="list" sqref="G35" xr:uid="{00000000-0002-0000-0600-000002000000}">
      <formula1>"GO,HOLD &amp; STRUCTURE,NO-GO PENDING RESOLUTION"</formula1>
      <formula2>0</formula2>
    </dataValidation>
  </dataValidations>
  <pageMargins left="0.75" right="0.75" top="1" bottom="1"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030A0"/>
  </sheetPr>
  <dimension ref="B2:H41"/>
  <sheetViews>
    <sheetView showGridLines="0" topLeftCell="A37" zoomScale="68" zoomScaleNormal="100" workbookViewId="0">
      <selection activeCell="E39" sqref="E39"/>
    </sheetView>
  </sheetViews>
  <sheetFormatPr defaultColWidth="8.6328125" defaultRowHeight="14.5" x14ac:dyDescent="0.35"/>
  <cols>
    <col min="1" max="1" width="2" style="3" customWidth="1"/>
    <col min="2" max="2" width="36" style="3" customWidth="1"/>
    <col min="3" max="3" width="24" style="3" customWidth="1"/>
    <col min="4" max="4" width="26" style="3" customWidth="1"/>
    <col min="5" max="8" width="44" style="3" customWidth="1"/>
    <col min="9" max="16384" width="8.6328125" style="3"/>
  </cols>
  <sheetData>
    <row r="2" spans="2:8" ht="24" customHeight="1" x14ac:dyDescent="0.35">
      <c r="B2" s="145" t="s">
        <v>1184</v>
      </c>
      <c r="C2" s="145"/>
      <c r="D2" s="145"/>
      <c r="E2" s="145"/>
      <c r="F2" s="145"/>
      <c r="G2" s="145"/>
      <c r="H2" s="145"/>
    </row>
    <row r="3" spans="2:8" ht="96" customHeight="1" x14ac:dyDescent="0.35">
      <c r="B3" s="152" t="s">
        <v>1668</v>
      </c>
      <c r="C3" s="152"/>
      <c r="D3" s="152"/>
      <c r="E3" s="152"/>
      <c r="F3" s="152"/>
      <c r="G3" s="152"/>
      <c r="H3" s="152"/>
    </row>
    <row r="5" spans="2:8" ht="18" customHeight="1" x14ac:dyDescent="0.35">
      <c r="B5" s="165" t="s">
        <v>1185</v>
      </c>
      <c r="C5" s="165"/>
      <c r="D5" s="165"/>
      <c r="E5" s="165"/>
      <c r="F5" s="165"/>
      <c r="G5" s="165"/>
      <c r="H5" s="165"/>
    </row>
    <row r="6" spans="2:8" ht="15.75" customHeight="1" x14ac:dyDescent="0.35">
      <c r="B6" s="71" t="s">
        <v>1186</v>
      </c>
      <c r="C6" s="190" t="str">
        <f>'3. Tool 01A Quick-Screen'!$D$14</f>
        <v>Answer the five questions above to identify the archetype</v>
      </c>
      <c r="D6" s="190"/>
      <c r="E6" s="190"/>
    </row>
    <row r="7" spans="2:8" ht="15.75" customHeight="1" x14ac:dyDescent="0.35">
      <c r="B7" s="71" t="s">
        <v>1187</v>
      </c>
      <c r="C7" s="190" t="str">
        <f>'3. Tool 01A Quick-Screen'!$D$27</f>
        <v>Answer the five questions above to generate a stage</v>
      </c>
      <c r="D7" s="190"/>
      <c r="E7" s="190"/>
    </row>
    <row r="8" spans="2:8" ht="15.75" customHeight="1" x14ac:dyDescent="0.35">
      <c r="B8" s="71" t="s">
        <v>99</v>
      </c>
      <c r="C8" s="190" t="str">
        <f>IF(LEFT($C$6,9)="ARCHETYPE","Yes","No")</f>
        <v>No</v>
      </c>
      <c r="D8" s="190"/>
      <c r="E8" s="190"/>
    </row>
    <row r="9" spans="2:8" ht="15.75" customHeight="1" x14ac:dyDescent="0.35">
      <c r="B9" s="71" t="s">
        <v>100</v>
      </c>
      <c r="C9" s="190" t="str">
        <f>IF('3. Tool 01A Quick-Screen'!$F$26="","No","Yes")</f>
        <v>No</v>
      </c>
      <c r="D9" s="190"/>
      <c r="E9" s="190"/>
    </row>
    <row r="11" spans="2:8" ht="18" customHeight="1" x14ac:dyDescent="0.35">
      <c r="B11" s="165" t="s">
        <v>1580</v>
      </c>
      <c r="C11" s="165"/>
      <c r="D11" s="165"/>
      <c r="E11" s="165"/>
      <c r="F11" s="165"/>
      <c r="G11" s="165"/>
      <c r="H11" s="165"/>
    </row>
    <row r="12" spans="2:8" ht="18" customHeight="1" x14ac:dyDescent="0.35">
      <c r="B12" s="71" t="s">
        <v>101</v>
      </c>
      <c r="C12" s="72" t="s">
        <v>102</v>
      </c>
      <c r="D12" s="148" t="s">
        <v>1188</v>
      </c>
      <c r="E12" s="148"/>
      <c r="F12" s="148"/>
      <c r="G12" s="148"/>
      <c r="H12" s="148"/>
    </row>
    <row r="13" spans="2:8" ht="18" customHeight="1" x14ac:dyDescent="0.35">
      <c r="B13" s="73" t="s">
        <v>1189</v>
      </c>
      <c r="C13" s="72" t="s">
        <v>103</v>
      </c>
      <c r="D13" s="148"/>
      <c r="E13" s="148"/>
      <c r="F13" s="148"/>
      <c r="G13" s="148"/>
      <c r="H13" s="148"/>
    </row>
    <row r="14" spans="2:8" ht="18" customHeight="1" x14ac:dyDescent="0.35">
      <c r="B14" s="73" t="s">
        <v>1190</v>
      </c>
      <c r="C14" s="72" t="s">
        <v>104</v>
      </c>
      <c r="D14" s="148"/>
      <c r="E14" s="148"/>
      <c r="F14" s="148"/>
      <c r="G14" s="148"/>
      <c r="H14" s="148"/>
    </row>
    <row r="16" spans="2:8" ht="18" customHeight="1" x14ac:dyDescent="0.35">
      <c r="B16" s="165" t="s">
        <v>1581</v>
      </c>
      <c r="C16" s="165"/>
      <c r="D16" s="165"/>
      <c r="E16" s="165"/>
      <c r="F16" s="165"/>
      <c r="G16" s="165"/>
      <c r="H16" s="165"/>
    </row>
    <row r="17" spans="2:8" ht="15.75" customHeight="1" x14ac:dyDescent="0.35">
      <c r="B17" s="71" t="s">
        <v>105</v>
      </c>
      <c r="C17" s="209" t="str">
        <f>IF($C$12="Manual override",INDEX($C$26:$C$30,MATCH($C$13,$D$26:$D$30,0)),IF($C$8="No","—",MID($C$6,11,2)))</f>
        <v>—</v>
      </c>
    </row>
    <row r="18" spans="2:8" ht="15.75" customHeight="1" x14ac:dyDescent="0.35">
      <c r="B18" s="71" t="s">
        <v>106</v>
      </c>
      <c r="C18" s="74" t="str">
        <f>IFERROR(INDEX($D$26:$D$30,MATCH($C$17,$C$26:$C$30,0)),"—")</f>
        <v>—</v>
      </c>
    </row>
    <row r="19" spans="2:8" ht="15.75" customHeight="1" x14ac:dyDescent="0.35">
      <c r="B19" s="71" t="s">
        <v>82</v>
      </c>
      <c r="C19" s="74" t="str">
        <f>IF($C$12="Manual override",$C$14,IF($C$9="No","—",$C$7))</f>
        <v>—</v>
      </c>
    </row>
    <row r="20" spans="2:8" ht="15.75" customHeight="1" x14ac:dyDescent="0.35">
      <c r="B20" s="71" t="s">
        <v>107</v>
      </c>
      <c r="C20" s="75">
        <f>IFERROR(INDEX($E$26:$E$30,MATCH($C$17,$C$26:$C$30,0)),0)</f>
        <v>0</v>
      </c>
    </row>
    <row r="21" spans="2:8" ht="21.75" customHeight="1" x14ac:dyDescent="0.35">
      <c r="B21" s="76" t="s">
        <v>108</v>
      </c>
      <c r="C21" s="188" t="str">
        <f>IF($C$18="—","Complete Tool 01A Part A and Part B on Sheet 3","ARCHETYPE "&amp;$C$17&amp;": THE "&amp;UPPER($C$18)&amp;IF($C$17="04"," MODEL","")&amp;", "&amp;UPPER($C$19))</f>
        <v>Complete Tool 01A Part A and Part B on Sheet 3</v>
      </c>
      <c r="D21" s="188"/>
      <c r="E21" s="188"/>
      <c r="F21" s="188"/>
      <c r="G21" s="188"/>
      <c r="H21" s="188"/>
    </row>
    <row r="22" spans="2:8" ht="30" customHeight="1" x14ac:dyDescent="0.35">
      <c r="B22" s="58" t="s">
        <v>109</v>
      </c>
      <c r="C22" s="189" t="str">
        <f>IF($C$12="Manual override","⚑ Manual override active: every downstream tool is showing "&amp;$C$18&amp;" at "&amp;$C$19&amp;IF($C$8="No"," (Tool 01A Part A is not yet complete).",IF(AND($C$17=MID($C$6,11,2),EXACT($C$19,$C$7)),". This matches the Tool 01A screen.",". This DIFFERS from the Tool 01A screen; reconcile before scoring.")),IF(OR($C$8="No",$C$9="No"),"Tool 01A is not complete yet. Answer Part A and Part B on Sheet 3 to load Tools 01B, 02 and 03.","✔ Following the Tool 01A screen: "&amp;$C$18&amp;" at "&amp;$C$19&amp;". Tools 01B, 02, and 03 are all using this."))</f>
        <v>Tool 01A is not complete yet. Answer Part A and Part B on Sheet 3 to load Tools 01B, 02 and 03.</v>
      </c>
      <c r="D22" s="189"/>
      <c r="E22" s="189"/>
      <c r="F22" s="189"/>
      <c r="G22" s="189"/>
      <c r="H22" s="189"/>
    </row>
    <row r="24" spans="2:8" ht="18" customHeight="1" x14ac:dyDescent="0.35">
      <c r="B24" s="165" t="s">
        <v>1191</v>
      </c>
      <c r="C24" s="165"/>
      <c r="D24" s="165"/>
      <c r="E24" s="165"/>
      <c r="F24" s="165"/>
      <c r="G24" s="165"/>
      <c r="H24" s="165"/>
    </row>
    <row r="25" spans="2:8" ht="25.5" customHeight="1" x14ac:dyDescent="0.35">
      <c r="C25" s="77" t="s">
        <v>110</v>
      </c>
      <c r="D25" s="77" t="s">
        <v>106</v>
      </c>
      <c r="E25" s="77" t="s">
        <v>107</v>
      </c>
      <c r="F25" s="77" t="s">
        <v>111</v>
      </c>
    </row>
    <row r="26" spans="2:8" ht="15.75" customHeight="1" x14ac:dyDescent="0.35">
      <c r="C26" s="78" t="s">
        <v>112</v>
      </c>
      <c r="D26" s="79" t="s">
        <v>113</v>
      </c>
      <c r="E26" s="80">
        <v>9</v>
      </c>
      <c r="F26" s="81" t="s">
        <v>114</v>
      </c>
    </row>
    <row r="27" spans="2:8" ht="15.75" customHeight="1" x14ac:dyDescent="0.35">
      <c r="C27" s="78" t="s">
        <v>115</v>
      </c>
      <c r="D27" s="79" t="s">
        <v>116</v>
      </c>
      <c r="E27" s="80">
        <v>10</v>
      </c>
      <c r="F27" s="81" t="s">
        <v>117</v>
      </c>
    </row>
    <row r="28" spans="2:8" ht="15.75" customHeight="1" x14ac:dyDescent="0.35">
      <c r="C28" s="78" t="s">
        <v>118</v>
      </c>
      <c r="D28" s="79" t="s">
        <v>119</v>
      </c>
      <c r="E28" s="80">
        <v>9</v>
      </c>
      <c r="F28" s="81" t="s">
        <v>120</v>
      </c>
    </row>
    <row r="29" spans="2:8" ht="15.75" customHeight="1" x14ac:dyDescent="0.35">
      <c r="C29" s="78" t="s">
        <v>121</v>
      </c>
      <c r="D29" s="79" t="s">
        <v>103</v>
      </c>
      <c r="E29" s="80">
        <v>11</v>
      </c>
      <c r="F29" s="81" t="s">
        <v>122</v>
      </c>
    </row>
    <row r="30" spans="2:8" ht="15.75" customHeight="1" x14ac:dyDescent="0.35">
      <c r="C30" s="78" t="s">
        <v>123</v>
      </c>
      <c r="D30" s="79" t="s">
        <v>124</v>
      </c>
      <c r="E30" s="80">
        <v>10</v>
      </c>
      <c r="F30" s="81" t="s">
        <v>125</v>
      </c>
    </row>
    <row r="31" spans="2:8" ht="25.5" customHeight="1" x14ac:dyDescent="0.35">
      <c r="C31" s="148" t="s">
        <v>1192</v>
      </c>
      <c r="D31" s="148"/>
      <c r="E31" s="148"/>
      <c r="F31" s="148"/>
      <c r="G31" s="148"/>
      <c r="H31" s="148"/>
    </row>
    <row r="33" spans="2:8" ht="18" customHeight="1" x14ac:dyDescent="0.35">
      <c r="B33" s="165" t="s">
        <v>1193</v>
      </c>
      <c r="C33" s="165"/>
      <c r="D33" s="165"/>
      <c r="E33" s="165"/>
      <c r="F33" s="165"/>
      <c r="G33" s="165"/>
      <c r="H33" s="165"/>
    </row>
    <row r="34" spans="2:8" ht="30" customHeight="1" x14ac:dyDescent="0.35">
      <c r="C34" s="77" t="s">
        <v>110</v>
      </c>
      <c r="D34" s="77" t="s">
        <v>81</v>
      </c>
      <c r="E34" s="77" t="s">
        <v>126</v>
      </c>
      <c r="F34" s="77" t="s">
        <v>127</v>
      </c>
      <c r="G34" s="77" t="s">
        <v>128</v>
      </c>
      <c r="H34" s="77" t="s">
        <v>129</v>
      </c>
    </row>
    <row r="35" spans="2:8" ht="120" customHeight="1" x14ac:dyDescent="0.35">
      <c r="C35" s="78" t="s">
        <v>112</v>
      </c>
      <c r="D35" s="82" t="s">
        <v>113</v>
      </c>
      <c r="E35" s="68" t="s">
        <v>1281</v>
      </c>
      <c r="F35" s="68" t="s">
        <v>1582</v>
      </c>
      <c r="G35" s="68" t="s">
        <v>1583</v>
      </c>
      <c r="H35" s="68" t="s">
        <v>1584</v>
      </c>
    </row>
    <row r="36" spans="2:8" ht="120" customHeight="1" x14ac:dyDescent="0.35">
      <c r="C36" s="78" t="s">
        <v>115</v>
      </c>
      <c r="D36" s="82" t="s">
        <v>116</v>
      </c>
      <c r="E36" s="68" t="s">
        <v>1454</v>
      </c>
      <c r="F36" s="68" t="s">
        <v>1282</v>
      </c>
      <c r="G36" s="68" t="s">
        <v>1283</v>
      </c>
      <c r="H36" s="68" t="s">
        <v>1194</v>
      </c>
    </row>
    <row r="37" spans="2:8" ht="120" customHeight="1" x14ac:dyDescent="0.35">
      <c r="C37" s="78" t="s">
        <v>118</v>
      </c>
      <c r="D37" s="82" t="s">
        <v>119</v>
      </c>
      <c r="E37" s="68" t="s">
        <v>1195</v>
      </c>
      <c r="F37" s="68" t="s">
        <v>1669</v>
      </c>
      <c r="G37" s="68" t="s">
        <v>1585</v>
      </c>
      <c r="H37" s="68" t="s">
        <v>1196</v>
      </c>
    </row>
    <row r="38" spans="2:8" ht="120" customHeight="1" x14ac:dyDescent="0.35">
      <c r="C38" s="78" t="s">
        <v>121</v>
      </c>
      <c r="D38" s="82" t="s">
        <v>103</v>
      </c>
      <c r="E38" s="68" t="s">
        <v>1197</v>
      </c>
      <c r="F38" s="68" t="s">
        <v>1586</v>
      </c>
      <c r="G38" s="68" t="s">
        <v>1670</v>
      </c>
      <c r="H38" s="68" t="s">
        <v>1284</v>
      </c>
    </row>
    <row r="39" spans="2:8" ht="120" customHeight="1" x14ac:dyDescent="0.35">
      <c r="C39" s="78" t="s">
        <v>123</v>
      </c>
      <c r="D39" s="82" t="s">
        <v>124</v>
      </c>
      <c r="E39" s="68" t="s">
        <v>1198</v>
      </c>
      <c r="F39" s="68" t="s">
        <v>1587</v>
      </c>
      <c r="G39" s="68" t="s">
        <v>1588</v>
      </c>
      <c r="H39" s="68" t="s">
        <v>1285</v>
      </c>
    </row>
    <row r="41" spans="2:8" ht="60" customHeight="1" x14ac:dyDescent="0.35">
      <c r="B41" s="148" t="s">
        <v>1589</v>
      </c>
      <c r="C41" s="148"/>
      <c r="D41" s="148"/>
      <c r="E41" s="148"/>
      <c r="F41" s="148"/>
      <c r="G41" s="148"/>
      <c r="H41" s="148"/>
    </row>
  </sheetData>
  <mergeCells count="16">
    <mergeCell ref="B2:H2"/>
    <mergeCell ref="B3:H3"/>
    <mergeCell ref="B5:H5"/>
    <mergeCell ref="C6:E6"/>
    <mergeCell ref="C7:E7"/>
    <mergeCell ref="C8:E8"/>
    <mergeCell ref="C9:E9"/>
    <mergeCell ref="B11:H11"/>
    <mergeCell ref="D12:H14"/>
    <mergeCell ref="B16:H16"/>
    <mergeCell ref="B41:H41"/>
    <mergeCell ref="C21:H21"/>
    <mergeCell ref="C22:H22"/>
    <mergeCell ref="B24:H24"/>
    <mergeCell ref="C31:H31"/>
    <mergeCell ref="B33:H33"/>
  </mergeCells>
  <dataValidations count="3">
    <dataValidation type="list" sqref="C12" xr:uid="{00000000-0002-0000-0700-000000000000}">
      <formula1>"Follow Tool 01A screen,Manual override"</formula1>
      <formula2>0</formula2>
    </dataValidation>
    <dataValidation type="list" sqref="C13" xr:uid="{00000000-0002-0000-0700-000001000000}">
      <formula1>"Product Seller,Access Provider,Network Distributor,Carbon Integrated,Infrastructure Utility"</formula1>
      <formula2>0</formula2>
    </dataValidation>
    <dataValidation type="list" sqref="C14" xr:uid="{00000000-0002-0000-0700-000002000000}">
      <formula1>"Early Stage,Growth Stage,Scale"</formula1>
      <formula2>0</formula2>
    </dataValidation>
  </dataValidations>
  <pageMargins left="0.75" right="0.75" top="1" bottom="1"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7030A0"/>
  </sheetPr>
  <dimension ref="B2:J154"/>
  <sheetViews>
    <sheetView zoomScale="74" zoomScaleNormal="100" workbookViewId="0">
      <pane xSplit="1" ySplit="5" topLeftCell="B6" activePane="bottomRight" state="frozen"/>
      <selection pane="topRight" activeCell="B1" sqref="B1"/>
      <selection pane="bottomLeft" activeCell="A107" sqref="A107"/>
      <selection pane="bottomRight" activeCell="B3" sqref="B3:J3"/>
    </sheetView>
  </sheetViews>
  <sheetFormatPr defaultColWidth="8.6328125" defaultRowHeight="14.5" x14ac:dyDescent="0.35"/>
  <cols>
    <col min="1" max="1" width="2" style="3" customWidth="1"/>
    <col min="2" max="2" width="16" style="3" customWidth="1"/>
    <col min="3" max="3" width="20" style="3" customWidth="1"/>
    <col min="4" max="4" width="5" style="3" customWidth="1"/>
    <col min="5" max="5" width="13" style="3" customWidth="1"/>
    <col min="6" max="6" width="40" style="3" customWidth="1"/>
    <col min="7" max="7" width="46" style="3" customWidth="1"/>
    <col min="8" max="9" width="42" style="3" customWidth="1"/>
    <col min="10" max="10" width="9" style="3" customWidth="1"/>
    <col min="11" max="16384" width="8.6328125" style="3"/>
  </cols>
  <sheetData>
    <row r="2" spans="2:10" ht="25.5" customHeight="1" x14ac:dyDescent="0.4">
      <c r="B2" s="151" t="s">
        <v>1199</v>
      </c>
      <c r="C2" s="151"/>
      <c r="D2" s="151"/>
      <c r="E2" s="151"/>
      <c r="F2" s="151"/>
      <c r="G2" s="151"/>
      <c r="H2" s="151"/>
      <c r="I2" s="151"/>
      <c r="J2" s="151"/>
    </row>
    <row r="3" spans="2:10" ht="199.5" customHeight="1" x14ac:dyDescent="0.35">
      <c r="B3" s="152" t="s">
        <v>1682</v>
      </c>
      <c r="C3" s="152"/>
      <c r="D3" s="152"/>
      <c r="E3" s="152"/>
      <c r="F3" s="152"/>
      <c r="G3" s="152"/>
      <c r="H3" s="152"/>
      <c r="I3" s="152"/>
      <c r="J3" s="152"/>
    </row>
    <row r="5" spans="2:10" ht="30" customHeight="1" x14ac:dyDescent="0.35">
      <c r="B5" s="9" t="s">
        <v>130</v>
      </c>
      <c r="C5" s="9" t="s">
        <v>81</v>
      </c>
      <c r="D5" s="9" t="s">
        <v>50</v>
      </c>
      <c r="E5" s="9" t="s">
        <v>82</v>
      </c>
      <c r="F5" s="9" t="s">
        <v>1200</v>
      </c>
      <c r="G5" s="9" t="s">
        <v>131</v>
      </c>
      <c r="H5" s="9" t="s">
        <v>132</v>
      </c>
      <c r="I5" s="9" t="s">
        <v>133</v>
      </c>
      <c r="J5" s="9" t="s">
        <v>134</v>
      </c>
    </row>
    <row r="6" spans="2:10" ht="72" customHeight="1" x14ac:dyDescent="0.35">
      <c r="B6" s="83" t="s">
        <v>135</v>
      </c>
      <c r="C6" s="84" t="s">
        <v>136</v>
      </c>
      <c r="D6" s="69" t="s">
        <v>53</v>
      </c>
      <c r="E6" s="85" t="s">
        <v>137</v>
      </c>
      <c r="F6" s="45" t="s">
        <v>1286</v>
      </c>
      <c r="G6" s="86" t="s">
        <v>1287</v>
      </c>
      <c r="H6" s="87" t="s">
        <v>138</v>
      </c>
      <c r="I6" s="88" t="s">
        <v>139</v>
      </c>
      <c r="J6" s="89" t="s">
        <v>140</v>
      </c>
    </row>
    <row r="7" spans="2:10" ht="72" customHeight="1" x14ac:dyDescent="0.35">
      <c r="B7" s="83" t="s">
        <v>141</v>
      </c>
      <c r="C7" s="84" t="s">
        <v>136</v>
      </c>
      <c r="D7" s="69" t="s">
        <v>53</v>
      </c>
      <c r="E7" s="85" t="s">
        <v>104</v>
      </c>
      <c r="F7" s="45" t="s">
        <v>1286</v>
      </c>
      <c r="G7" s="86" t="s">
        <v>142</v>
      </c>
      <c r="H7" s="87" t="s">
        <v>143</v>
      </c>
      <c r="I7" s="88" t="s">
        <v>144</v>
      </c>
      <c r="J7" s="89" t="s">
        <v>140</v>
      </c>
    </row>
    <row r="8" spans="2:10" ht="72" customHeight="1" x14ac:dyDescent="0.35">
      <c r="B8" s="83" t="s">
        <v>145</v>
      </c>
      <c r="C8" s="84" t="s">
        <v>136</v>
      </c>
      <c r="D8" s="69" t="s">
        <v>53</v>
      </c>
      <c r="E8" s="85" t="s">
        <v>146</v>
      </c>
      <c r="F8" s="45" t="s">
        <v>1286</v>
      </c>
      <c r="G8" s="86" t="s">
        <v>147</v>
      </c>
      <c r="H8" s="87" t="s">
        <v>148</v>
      </c>
      <c r="I8" s="88" t="s">
        <v>149</v>
      </c>
      <c r="J8" s="89" t="s">
        <v>140</v>
      </c>
    </row>
    <row r="9" spans="2:10" ht="72" customHeight="1" x14ac:dyDescent="0.35">
      <c r="B9" s="83" t="s">
        <v>150</v>
      </c>
      <c r="C9" s="84" t="s">
        <v>136</v>
      </c>
      <c r="D9" s="69" t="s">
        <v>55</v>
      </c>
      <c r="E9" s="85" t="s">
        <v>137</v>
      </c>
      <c r="F9" s="45" t="s">
        <v>151</v>
      </c>
      <c r="G9" s="86" t="s">
        <v>152</v>
      </c>
      <c r="H9" s="87" t="s">
        <v>1288</v>
      </c>
      <c r="I9" s="88" t="s">
        <v>1289</v>
      </c>
      <c r="J9" s="89"/>
    </row>
    <row r="10" spans="2:10" ht="72" customHeight="1" x14ac:dyDescent="0.35">
      <c r="B10" s="83" t="s">
        <v>153</v>
      </c>
      <c r="C10" s="84" t="s">
        <v>136</v>
      </c>
      <c r="D10" s="69" t="s">
        <v>55</v>
      </c>
      <c r="E10" s="85" t="s">
        <v>104</v>
      </c>
      <c r="F10" s="45" t="s">
        <v>151</v>
      </c>
      <c r="G10" s="86" t="s">
        <v>154</v>
      </c>
      <c r="H10" s="87" t="s">
        <v>155</v>
      </c>
      <c r="I10" s="88" t="s">
        <v>156</v>
      </c>
      <c r="J10" s="89" t="s">
        <v>140</v>
      </c>
    </row>
    <row r="11" spans="2:10" ht="72" customHeight="1" x14ac:dyDescent="0.35">
      <c r="B11" s="83" t="s">
        <v>157</v>
      </c>
      <c r="C11" s="84" t="s">
        <v>136</v>
      </c>
      <c r="D11" s="69" t="s">
        <v>55</v>
      </c>
      <c r="E11" s="85" t="s">
        <v>146</v>
      </c>
      <c r="F11" s="45" t="s">
        <v>151</v>
      </c>
      <c r="G11" s="86" t="s">
        <v>158</v>
      </c>
      <c r="H11" s="87" t="s">
        <v>159</v>
      </c>
      <c r="I11" s="88" t="s">
        <v>160</v>
      </c>
      <c r="J11" s="89" t="s">
        <v>140</v>
      </c>
    </row>
    <row r="12" spans="2:10" ht="72" customHeight="1" x14ac:dyDescent="0.35">
      <c r="B12" s="83" t="s">
        <v>161</v>
      </c>
      <c r="C12" s="84" t="s">
        <v>136</v>
      </c>
      <c r="D12" s="69" t="s">
        <v>57</v>
      </c>
      <c r="E12" s="85" t="s">
        <v>137</v>
      </c>
      <c r="F12" s="45" t="s">
        <v>1690</v>
      </c>
      <c r="G12" s="86" t="s">
        <v>1290</v>
      </c>
      <c r="H12" s="87" t="s">
        <v>162</v>
      </c>
      <c r="I12" s="88" t="s">
        <v>163</v>
      </c>
      <c r="J12" s="89"/>
    </row>
    <row r="13" spans="2:10" ht="72" customHeight="1" x14ac:dyDescent="0.35">
      <c r="B13" s="83" t="s">
        <v>164</v>
      </c>
      <c r="C13" s="84" t="s">
        <v>136</v>
      </c>
      <c r="D13" s="69" t="s">
        <v>57</v>
      </c>
      <c r="E13" s="85" t="s">
        <v>104</v>
      </c>
      <c r="F13" s="45" t="s">
        <v>1690</v>
      </c>
      <c r="G13" s="86" t="s">
        <v>165</v>
      </c>
      <c r="H13" s="87" t="s">
        <v>166</v>
      </c>
      <c r="I13" s="88" t="s">
        <v>167</v>
      </c>
      <c r="J13" s="89"/>
    </row>
    <row r="14" spans="2:10" ht="72" customHeight="1" x14ac:dyDescent="0.35">
      <c r="B14" s="83" t="s">
        <v>168</v>
      </c>
      <c r="C14" s="84" t="s">
        <v>136</v>
      </c>
      <c r="D14" s="69" t="s">
        <v>57</v>
      </c>
      <c r="E14" s="85" t="s">
        <v>146</v>
      </c>
      <c r="F14" s="45" t="s">
        <v>1690</v>
      </c>
      <c r="G14" s="86" t="s">
        <v>1590</v>
      </c>
      <c r="H14" s="87" t="s">
        <v>1291</v>
      </c>
      <c r="I14" s="88" t="s">
        <v>169</v>
      </c>
      <c r="J14" s="89"/>
    </row>
    <row r="15" spans="2:10" ht="72" customHeight="1" x14ac:dyDescent="0.35">
      <c r="B15" s="83" t="s">
        <v>170</v>
      </c>
      <c r="C15" s="84" t="s">
        <v>136</v>
      </c>
      <c r="D15" s="69" t="s">
        <v>59</v>
      </c>
      <c r="E15" s="85" t="s">
        <v>137</v>
      </c>
      <c r="F15" s="45" t="s">
        <v>1292</v>
      </c>
      <c r="G15" s="86" t="s">
        <v>1293</v>
      </c>
      <c r="H15" s="87" t="s">
        <v>171</v>
      </c>
      <c r="I15" s="88" t="s">
        <v>172</v>
      </c>
      <c r="J15" s="89"/>
    </row>
    <row r="16" spans="2:10" ht="72" customHeight="1" x14ac:dyDescent="0.35">
      <c r="B16" s="83" t="s">
        <v>173</v>
      </c>
      <c r="C16" s="84" t="s">
        <v>136</v>
      </c>
      <c r="D16" s="69" t="s">
        <v>59</v>
      </c>
      <c r="E16" s="85" t="s">
        <v>104</v>
      </c>
      <c r="F16" s="45" t="s">
        <v>1292</v>
      </c>
      <c r="G16" s="86" t="s">
        <v>174</v>
      </c>
      <c r="H16" s="87" t="s">
        <v>175</v>
      </c>
      <c r="I16" s="88" t="s">
        <v>1691</v>
      </c>
      <c r="J16" s="89"/>
    </row>
    <row r="17" spans="2:10" ht="72" customHeight="1" x14ac:dyDescent="0.35">
      <c r="B17" s="83" t="s">
        <v>176</v>
      </c>
      <c r="C17" s="84" t="s">
        <v>136</v>
      </c>
      <c r="D17" s="69" t="s">
        <v>59</v>
      </c>
      <c r="E17" s="85" t="s">
        <v>146</v>
      </c>
      <c r="F17" s="45" t="s">
        <v>1292</v>
      </c>
      <c r="G17" s="86" t="s">
        <v>177</v>
      </c>
      <c r="H17" s="87" t="s">
        <v>1294</v>
      </c>
      <c r="I17" s="88" t="s">
        <v>178</v>
      </c>
      <c r="J17" s="89"/>
    </row>
    <row r="18" spans="2:10" ht="72" customHeight="1" x14ac:dyDescent="0.35">
      <c r="B18" s="83" t="s">
        <v>179</v>
      </c>
      <c r="C18" s="84" t="s">
        <v>136</v>
      </c>
      <c r="D18" s="69" t="s">
        <v>61</v>
      </c>
      <c r="E18" s="85" t="s">
        <v>137</v>
      </c>
      <c r="F18" s="45" t="s">
        <v>180</v>
      </c>
      <c r="G18" s="86" t="s">
        <v>181</v>
      </c>
      <c r="H18" s="87" t="s">
        <v>182</v>
      </c>
      <c r="I18" s="88" t="s">
        <v>183</v>
      </c>
      <c r="J18" s="89"/>
    </row>
    <row r="19" spans="2:10" ht="72" customHeight="1" x14ac:dyDescent="0.35">
      <c r="B19" s="83" t="s">
        <v>184</v>
      </c>
      <c r="C19" s="84" t="s">
        <v>136</v>
      </c>
      <c r="D19" s="69" t="s">
        <v>61</v>
      </c>
      <c r="E19" s="85" t="s">
        <v>104</v>
      </c>
      <c r="F19" s="45" t="s">
        <v>180</v>
      </c>
      <c r="G19" s="86" t="s">
        <v>185</v>
      </c>
      <c r="H19" s="87" t="s">
        <v>186</v>
      </c>
      <c r="I19" s="88" t="s">
        <v>187</v>
      </c>
      <c r="J19" s="89"/>
    </row>
    <row r="20" spans="2:10" ht="72" customHeight="1" x14ac:dyDescent="0.35">
      <c r="B20" s="83" t="s">
        <v>188</v>
      </c>
      <c r="C20" s="84" t="s">
        <v>136</v>
      </c>
      <c r="D20" s="69" t="s">
        <v>61</v>
      </c>
      <c r="E20" s="85" t="s">
        <v>146</v>
      </c>
      <c r="F20" s="45" t="s">
        <v>180</v>
      </c>
      <c r="G20" s="86" t="s">
        <v>189</v>
      </c>
      <c r="H20" s="87" t="s">
        <v>190</v>
      </c>
      <c r="I20" s="88" t="s">
        <v>191</v>
      </c>
      <c r="J20" s="89"/>
    </row>
    <row r="21" spans="2:10" ht="72" customHeight="1" x14ac:dyDescent="0.35">
      <c r="B21" s="83" t="s">
        <v>192</v>
      </c>
      <c r="C21" s="84" t="s">
        <v>136</v>
      </c>
      <c r="D21" s="69" t="s">
        <v>193</v>
      </c>
      <c r="E21" s="85" t="s">
        <v>137</v>
      </c>
      <c r="F21" s="45" t="s">
        <v>194</v>
      </c>
      <c r="G21" s="86" t="s">
        <v>195</v>
      </c>
      <c r="H21" s="87" t="s">
        <v>1295</v>
      </c>
      <c r="I21" s="88" t="s">
        <v>196</v>
      </c>
      <c r="J21" s="89"/>
    </row>
    <row r="22" spans="2:10" ht="72" customHeight="1" x14ac:dyDescent="0.35">
      <c r="B22" s="83" t="s">
        <v>197</v>
      </c>
      <c r="C22" s="84" t="s">
        <v>136</v>
      </c>
      <c r="D22" s="69" t="s">
        <v>193</v>
      </c>
      <c r="E22" s="85" t="s">
        <v>104</v>
      </c>
      <c r="F22" s="45" t="s">
        <v>194</v>
      </c>
      <c r="G22" s="86" t="s">
        <v>1296</v>
      </c>
      <c r="H22" s="87" t="s">
        <v>198</v>
      </c>
      <c r="I22" s="88" t="s">
        <v>199</v>
      </c>
      <c r="J22" s="89" t="s">
        <v>140</v>
      </c>
    </row>
    <row r="23" spans="2:10" ht="72" customHeight="1" x14ac:dyDescent="0.35">
      <c r="B23" s="83" t="s">
        <v>200</v>
      </c>
      <c r="C23" s="84" t="s">
        <v>136</v>
      </c>
      <c r="D23" s="69" t="s">
        <v>193</v>
      </c>
      <c r="E23" s="85" t="s">
        <v>146</v>
      </c>
      <c r="F23" s="45" t="s">
        <v>194</v>
      </c>
      <c r="G23" s="86" t="s">
        <v>1297</v>
      </c>
      <c r="H23" s="87" t="s">
        <v>1298</v>
      </c>
      <c r="I23" s="88" t="s">
        <v>1683</v>
      </c>
      <c r="J23" s="89" t="s">
        <v>140</v>
      </c>
    </row>
    <row r="24" spans="2:10" ht="72" customHeight="1" x14ac:dyDescent="0.35">
      <c r="B24" s="83" t="s">
        <v>201</v>
      </c>
      <c r="C24" s="84" t="s">
        <v>136</v>
      </c>
      <c r="D24" s="69" t="s">
        <v>202</v>
      </c>
      <c r="E24" s="85" t="s">
        <v>137</v>
      </c>
      <c r="F24" s="45" t="s">
        <v>1591</v>
      </c>
      <c r="G24" s="86" t="s">
        <v>203</v>
      </c>
      <c r="H24" s="87" t="s">
        <v>204</v>
      </c>
      <c r="I24" s="88" t="s">
        <v>205</v>
      </c>
      <c r="J24" s="89"/>
    </row>
    <row r="25" spans="2:10" ht="72" customHeight="1" x14ac:dyDescent="0.35">
      <c r="B25" s="83" t="s">
        <v>206</v>
      </c>
      <c r="C25" s="84" t="s">
        <v>136</v>
      </c>
      <c r="D25" s="69" t="s">
        <v>202</v>
      </c>
      <c r="E25" s="85" t="s">
        <v>104</v>
      </c>
      <c r="F25" s="45" t="s">
        <v>1591</v>
      </c>
      <c r="G25" s="86" t="s">
        <v>207</v>
      </c>
      <c r="H25" s="87" t="s">
        <v>1299</v>
      </c>
      <c r="I25" s="88" t="s">
        <v>208</v>
      </c>
      <c r="J25" s="89"/>
    </row>
    <row r="26" spans="2:10" ht="72" customHeight="1" x14ac:dyDescent="0.35">
      <c r="B26" s="83" t="s">
        <v>209</v>
      </c>
      <c r="C26" s="84" t="s">
        <v>136</v>
      </c>
      <c r="D26" s="69" t="s">
        <v>202</v>
      </c>
      <c r="E26" s="85" t="s">
        <v>146</v>
      </c>
      <c r="F26" s="45" t="s">
        <v>1591</v>
      </c>
      <c r="G26" s="86" t="s">
        <v>210</v>
      </c>
      <c r="H26" s="87" t="s">
        <v>211</v>
      </c>
      <c r="I26" s="88" t="s">
        <v>212</v>
      </c>
      <c r="J26" s="89"/>
    </row>
    <row r="27" spans="2:10" ht="72" customHeight="1" x14ac:dyDescent="0.35">
      <c r="B27" s="83" t="s">
        <v>213</v>
      </c>
      <c r="C27" s="84" t="s">
        <v>136</v>
      </c>
      <c r="D27" s="69" t="s">
        <v>214</v>
      </c>
      <c r="E27" s="85" t="s">
        <v>137</v>
      </c>
      <c r="F27" s="45" t="s">
        <v>1592</v>
      </c>
      <c r="G27" s="86" t="s">
        <v>215</v>
      </c>
      <c r="H27" s="87" t="s">
        <v>1300</v>
      </c>
      <c r="I27" s="88" t="s">
        <v>216</v>
      </c>
      <c r="J27" s="89"/>
    </row>
    <row r="28" spans="2:10" ht="72" customHeight="1" x14ac:dyDescent="0.35">
      <c r="B28" s="83" t="s">
        <v>217</v>
      </c>
      <c r="C28" s="84" t="s">
        <v>136</v>
      </c>
      <c r="D28" s="69" t="s">
        <v>214</v>
      </c>
      <c r="E28" s="85" t="s">
        <v>104</v>
      </c>
      <c r="F28" s="45" t="s">
        <v>1592</v>
      </c>
      <c r="G28" s="86" t="s">
        <v>218</v>
      </c>
      <c r="H28" s="87" t="s">
        <v>219</v>
      </c>
      <c r="I28" s="88" t="s">
        <v>220</v>
      </c>
      <c r="J28" s="89"/>
    </row>
    <row r="29" spans="2:10" ht="72" customHeight="1" x14ac:dyDescent="0.35">
      <c r="B29" s="83" t="s">
        <v>221</v>
      </c>
      <c r="C29" s="84" t="s">
        <v>136</v>
      </c>
      <c r="D29" s="69" t="s">
        <v>214</v>
      </c>
      <c r="E29" s="85" t="s">
        <v>146</v>
      </c>
      <c r="F29" s="45" t="s">
        <v>1592</v>
      </c>
      <c r="G29" s="86" t="s">
        <v>1593</v>
      </c>
      <c r="H29" s="87" t="s">
        <v>222</v>
      </c>
      <c r="I29" s="88" t="s">
        <v>223</v>
      </c>
      <c r="J29" s="89"/>
    </row>
    <row r="30" spans="2:10" ht="72" customHeight="1" x14ac:dyDescent="0.35">
      <c r="B30" s="83" t="s">
        <v>224</v>
      </c>
      <c r="C30" s="84" t="s">
        <v>136</v>
      </c>
      <c r="D30" s="69" t="s">
        <v>225</v>
      </c>
      <c r="E30" s="85" t="s">
        <v>137</v>
      </c>
      <c r="F30" s="45" t="s">
        <v>1301</v>
      </c>
      <c r="G30" s="86" t="s">
        <v>226</v>
      </c>
      <c r="H30" s="87" t="s">
        <v>227</v>
      </c>
      <c r="I30" s="88" t="s">
        <v>228</v>
      </c>
      <c r="J30" s="89"/>
    </row>
    <row r="31" spans="2:10" ht="72" customHeight="1" x14ac:dyDescent="0.35">
      <c r="B31" s="83" t="s">
        <v>229</v>
      </c>
      <c r="C31" s="84" t="s">
        <v>136</v>
      </c>
      <c r="D31" s="69" t="s">
        <v>225</v>
      </c>
      <c r="E31" s="85" t="s">
        <v>104</v>
      </c>
      <c r="F31" s="45" t="s">
        <v>1301</v>
      </c>
      <c r="G31" s="86" t="s">
        <v>230</v>
      </c>
      <c r="H31" s="87" t="s">
        <v>231</v>
      </c>
      <c r="I31" s="88" t="s">
        <v>232</v>
      </c>
      <c r="J31" s="89"/>
    </row>
    <row r="32" spans="2:10" ht="72" customHeight="1" x14ac:dyDescent="0.35">
      <c r="B32" s="83" t="s">
        <v>233</v>
      </c>
      <c r="C32" s="84" t="s">
        <v>136</v>
      </c>
      <c r="D32" s="69" t="s">
        <v>225</v>
      </c>
      <c r="E32" s="85" t="s">
        <v>146</v>
      </c>
      <c r="F32" s="45" t="s">
        <v>1301</v>
      </c>
      <c r="G32" s="86" t="s">
        <v>1594</v>
      </c>
      <c r="H32" s="87" t="s">
        <v>234</v>
      </c>
      <c r="I32" s="88" t="s">
        <v>1684</v>
      </c>
      <c r="J32" s="89"/>
    </row>
    <row r="33" spans="2:10" ht="72" customHeight="1" x14ac:dyDescent="0.35">
      <c r="B33" s="83" t="s">
        <v>235</v>
      </c>
      <c r="C33" s="84" t="s">
        <v>236</v>
      </c>
      <c r="D33" s="69" t="s">
        <v>53</v>
      </c>
      <c r="E33" s="85" t="s">
        <v>137</v>
      </c>
      <c r="F33" s="45" t="s">
        <v>1595</v>
      </c>
      <c r="G33" s="86" t="s">
        <v>1497</v>
      </c>
      <c r="H33" s="87" t="s">
        <v>237</v>
      </c>
      <c r="I33" s="88" t="s">
        <v>238</v>
      </c>
      <c r="J33" s="89" t="s">
        <v>140</v>
      </c>
    </row>
    <row r="34" spans="2:10" ht="72" customHeight="1" x14ac:dyDescent="0.35">
      <c r="B34" s="83" t="s">
        <v>239</v>
      </c>
      <c r="C34" s="84" t="s">
        <v>236</v>
      </c>
      <c r="D34" s="69" t="s">
        <v>53</v>
      </c>
      <c r="E34" s="85" t="s">
        <v>104</v>
      </c>
      <c r="F34" s="45" t="s">
        <v>1595</v>
      </c>
      <c r="G34" s="86" t="s">
        <v>1689</v>
      </c>
      <c r="H34" s="87" t="s">
        <v>240</v>
      </c>
      <c r="I34" s="88" t="s">
        <v>1455</v>
      </c>
      <c r="J34" s="89" t="s">
        <v>140</v>
      </c>
    </row>
    <row r="35" spans="2:10" ht="72" customHeight="1" x14ac:dyDescent="0.35">
      <c r="B35" s="83" t="s">
        <v>241</v>
      </c>
      <c r="C35" s="84" t="s">
        <v>236</v>
      </c>
      <c r="D35" s="69" t="s">
        <v>53</v>
      </c>
      <c r="E35" s="85" t="s">
        <v>146</v>
      </c>
      <c r="F35" s="45" t="s">
        <v>1595</v>
      </c>
      <c r="G35" s="86" t="s">
        <v>1685</v>
      </c>
      <c r="H35" s="87" t="s">
        <v>242</v>
      </c>
      <c r="I35" s="88" t="s">
        <v>243</v>
      </c>
      <c r="J35" s="89" t="s">
        <v>140</v>
      </c>
    </row>
    <row r="36" spans="2:10" ht="72" customHeight="1" x14ac:dyDescent="0.35">
      <c r="B36" s="83" t="s">
        <v>244</v>
      </c>
      <c r="C36" s="84" t="s">
        <v>236</v>
      </c>
      <c r="D36" s="69" t="s">
        <v>55</v>
      </c>
      <c r="E36" s="85" t="s">
        <v>137</v>
      </c>
      <c r="F36" s="45" t="s">
        <v>1456</v>
      </c>
      <c r="G36" s="86" t="s">
        <v>1302</v>
      </c>
      <c r="H36" s="87" t="s">
        <v>245</v>
      </c>
      <c r="I36" s="88" t="s">
        <v>246</v>
      </c>
      <c r="J36" s="89"/>
    </row>
    <row r="37" spans="2:10" ht="72" customHeight="1" x14ac:dyDescent="0.35">
      <c r="B37" s="83" t="s">
        <v>247</v>
      </c>
      <c r="C37" s="84" t="s">
        <v>236</v>
      </c>
      <c r="D37" s="69" t="s">
        <v>55</v>
      </c>
      <c r="E37" s="85" t="s">
        <v>104</v>
      </c>
      <c r="F37" s="45" t="s">
        <v>1456</v>
      </c>
      <c r="G37" s="86" t="s">
        <v>1686</v>
      </c>
      <c r="H37" s="87" t="s">
        <v>248</v>
      </c>
      <c r="I37" s="88" t="s">
        <v>249</v>
      </c>
      <c r="J37" s="89" t="s">
        <v>140</v>
      </c>
    </row>
    <row r="38" spans="2:10" ht="72" customHeight="1" x14ac:dyDescent="0.35">
      <c r="B38" s="83" t="s">
        <v>250</v>
      </c>
      <c r="C38" s="84" t="s">
        <v>236</v>
      </c>
      <c r="D38" s="69" t="s">
        <v>55</v>
      </c>
      <c r="E38" s="85" t="s">
        <v>146</v>
      </c>
      <c r="F38" s="45" t="s">
        <v>1456</v>
      </c>
      <c r="G38" s="86" t="s">
        <v>1303</v>
      </c>
      <c r="H38" s="87" t="s">
        <v>251</v>
      </c>
      <c r="I38" s="88" t="s">
        <v>252</v>
      </c>
      <c r="J38" s="89" t="s">
        <v>140</v>
      </c>
    </row>
    <row r="39" spans="2:10" ht="72" customHeight="1" x14ac:dyDescent="0.35">
      <c r="B39" s="83" t="s">
        <v>253</v>
      </c>
      <c r="C39" s="84" t="s">
        <v>236</v>
      </c>
      <c r="D39" s="69" t="s">
        <v>57</v>
      </c>
      <c r="E39" s="85" t="s">
        <v>137</v>
      </c>
      <c r="F39" s="45" t="s">
        <v>254</v>
      </c>
      <c r="G39" s="86" t="s">
        <v>255</v>
      </c>
      <c r="H39" s="87" t="s">
        <v>1304</v>
      </c>
      <c r="I39" s="88" t="s">
        <v>256</v>
      </c>
      <c r="J39" s="89"/>
    </row>
    <row r="40" spans="2:10" ht="72" customHeight="1" x14ac:dyDescent="0.35">
      <c r="B40" s="83" t="s">
        <v>257</v>
      </c>
      <c r="C40" s="84" t="s">
        <v>236</v>
      </c>
      <c r="D40" s="69" t="s">
        <v>57</v>
      </c>
      <c r="E40" s="85" t="s">
        <v>104</v>
      </c>
      <c r="F40" s="45" t="s">
        <v>254</v>
      </c>
      <c r="G40" s="86" t="s">
        <v>258</v>
      </c>
      <c r="H40" s="87" t="s">
        <v>259</v>
      </c>
      <c r="I40" s="88" t="s">
        <v>260</v>
      </c>
      <c r="J40" s="89"/>
    </row>
    <row r="41" spans="2:10" ht="72" customHeight="1" x14ac:dyDescent="0.35">
      <c r="B41" s="83" t="s">
        <v>261</v>
      </c>
      <c r="C41" s="84" t="s">
        <v>236</v>
      </c>
      <c r="D41" s="69" t="s">
        <v>57</v>
      </c>
      <c r="E41" s="85" t="s">
        <v>146</v>
      </c>
      <c r="F41" s="45" t="s">
        <v>254</v>
      </c>
      <c r="G41" s="86" t="s">
        <v>1305</v>
      </c>
      <c r="H41" s="87" t="s">
        <v>262</v>
      </c>
      <c r="I41" s="88" t="s">
        <v>263</v>
      </c>
      <c r="J41" s="89"/>
    </row>
    <row r="42" spans="2:10" ht="72" customHeight="1" x14ac:dyDescent="0.35">
      <c r="B42" s="83" t="s">
        <v>264</v>
      </c>
      <c r="C42" s="84" t="s">
        <v>236</v>
      </c>
      <c r="D42" s="69" t="s">
        <v>59</v>
      </c>
      <c r="E42" s="85" t="s">
        <v>137</v>
      </c>
      <c r="F42" s="45" t="s">
        <v>1306</v>
      </c>
      <c r="G42" s="86" t="s">
        <v>1307</v>
      </c>
      <c r="H42" s="87" t="s">
        <v>1308</v>
      </c>
      <c r="I42" s="88" t="s">
        <v>265</v>
      </c>
      <c r="J42" s="89"/>
    </row>
    <row r="43" spans="2:10" ht="72" customHeight="1" x14ac:dyDescent="0.35">
      <c r="B43" s="83" t="s">
        <v>266</v>
      </c>
      <c r="C43" s="84" t="s">
        <v>236</v>
      </c>
      <c r="D43" s="69" t="s">
        <v>59</v>
      </c>
      <c r="E43" s="85" t="s">
        <v>104</v>
      </c>
      <c r="F43" s="45" t="s">
        <v>1306</v>
      </c>
      <c r="G43" s="86" t="s">
        <v>267</v>
      </c>
      <c r="H43" s="87" t="s">
        <v>268</v>
      </c>
      <c r="I43" s="88" t="s">
        <v>269</v>
      </c>
      <c r="J43" s="89" t="s">
        <v>140</v>
      </c>
    </row>
    <row r="44" spans="2:10" ht="72" customHeight="1" x14ac:dyDescent="0.35">
      <c r="B44" s="83" t="s">
        <v>270</v>
      </c>
      <c r="C44" s="84" t="s">
        <v>236</v>
      </c>
      <c r="D44" s="69" t="s">
        <v>59</v>
      </c>
      <c r="E44" s="85" t="s">
        <v>146</v>
      </c>
      <c r="F44" s="45" t="s">
        <v>1306</v>
      </c>
      <c r="G44" s="86" t="s">
        <v>1309</v>
      </c>
      <c r="H44" s="87" t="s">
        <v>1310</v>
      </c>
      <c r="I44" s="88" t="s">
        <v>271</v>
      </c>
      <c r="J44" s="89" t="s">
        <v>140</v>
      </c>
    </row>
    <row r="45" spans="2:10" ht="72" customHeight="1" x14ac:dyDescent="0.35">
      <c r="B45" s="83" t="s">
        <v>272</v>
      </c>
      <c r="C45" s="84" t="s">
        <v>236</v>
      </c>
      <c r="D45" s="69" t="s">
        <v>61</v>
      </c>
      <c r="E45" s="85" t="s">
        <v>137</v>
      </c>
      <c r="F45" s="45" t="s">
        <v>273</v>
      </c>
      <c r="G45" s="86" t="s">
        <v>274</v>
      </c>
      <c r="H45" s="87" t="s">
        <v>275</v>
      </c>
      <c r="I45" s="88" t="s">
        <v>276</v>
      </c>
      <c r="J45" s="89"/>
    </row>
    <row r="46" spans="2:10" ht="72" customHeight="1" x14ac:dyDescent="0.35">
      <c r="B46" s="83" t="s">
        <v>277</v>
      </c>
      <c r="C46" s="84" t="s">
        <v>236</v>
      </c>
      <c r="D46" s="69" t="s">
        <v>61</v>
      </c>
      <c r="E46" s="85" t="s">
        <v>104</v>
      </c>
      <c r="F46" s="45" t="s">
        <v>273</v>
      </c>
      <c r="G46" s="86" t="s">
        <v>278</v>
      </c>
      <c r="H46" s="87" t="s">
        <v>279</v>
      </c>
      <c r="I46" s="88" t="s">
        <v>280</v>
      </c>
      <c r="J46" s="89"/>
    </row>
    <row r="47" spans="2:10" ht="72" customHeight="1" x14ac:dyDescent="0.35">
      <c r="B47" s="83" t="s">
        <v>281</v>
      </c>
      <c r="C47" s="84" t="s">
        <v>236</v>
      </c>
      <c r="D47" s="69" t="s">
        <v>61</v>
      </c>
      <c r="E47" s="85" t="s">
        <v>146</v>
      </c>
      <c r="F47" s="45" t="s">
        <v>273</v>
      </c>
      <c r="G47" s="86" t="s">
        <v>1311</v>
      </c>
      <c r="H47" s="87" t="s">
        <v>282</v>
      </c>
      <c r="I47" s="88" t="s">
        <v>283</v>
      </c>
      <c r="J47" s="89"/>
    </row>
    <row r="48" spans="2:10" ht="72" customHeight="1" x14ac:dyDescent="0.35">
      <c r="B48" s="83" t="s">
        <v>284</v>
      </c>
      <c r="C48" s="84" t="s">
        <v>236</v>
      </c>
      <c r="D48" s="69" t="s">
        <v>193</v>
      </c>
      <c r="E48" s="85" t="s">
        <v>137</v>
      </c>
      <c r="F48" s="45" t="s">
        <v>285</v>
      </c>
      <c r="G48" s="86" t="s">
        <v>1312</v>
      </c>
      <c r="H48" s="87" t="s">
        <v>286</v>
      </c>
      <c r="I48" s="88" t="s">
        <v>287</v>
      </c>
      <c r="J48" s="89"/>
    </row>
    <row r="49" spans="2:10" ht="72" customHeight="1" x14ac:dyDescent="0.35">
      <c r="B49" s="83" t="s">
        <v>288</v>
      </c>
      <c r="C49" s="84" t="s">
        <v>236</v>
      </c>
      <c r="D49" s="69" t="s">
        <v>193</v>
      </c>
      <c r="E49" s="85" t="s">
        <v>104</v>
      </c>
      <c r="F49" s="45" t="s">
        <v>285</v>
      </c>
      <c r="G49" s="86" t="s">
        <v>289</v>
      </c>
      <c r="H49" s="87" t="s">
        <v>290</v>
      </c>
      <c r="I49" s="88" t="s">
        <v>291</v>
      </c>
      <c r="J49" s="89"/>
    </row>
    <row r="50" spans="2:10" ht="72" customHeight="1" x14ac:dyDescent="0.35">
      <c r="B50" s="83" t="s">
        <v>292</v>
      </c>
      <c r="C50" s="84" t="s">
        <v>236</v>
      </c>
      <c r="D50" s="69" t="s">
        <v>193</v>
      </c>
      <c r="E50" s="85" t="s">
        <v>146</v>
      </c>
      <c r="F50" s="45" t="s">
        <v>285</v>
      </c>
      <c r="G50" s="86" t="s">
        <v>1687</v>
      </c>
      <c r="H50" s="87" t="s">
        <v>293</v>
      </c>
      <c r="I50" s="88" t="s">
        <v>294</v>
      </c>
      <c r="J50" s="89"/>
    </row>
    <row r="51" spans="2:10" ht="72" customHeight="1" x14ac:dyDescent="0.35">
      <c r="B51" s="83" t="s">
        <v>295</v>
      </c>
      <c r="C51" s="84" t="s">
        <v>236</v>
      </c>
      <c r="D51" s="69" t="s">
        <v>202</v>
      </c>
      <c r="E51" s="85" t="s">
        <v>137</v>
      </c>
      <c r="F51" s="45" t="s">
        <v>296</v>
      </c>
      <c r="G51" s="86" t="s">
        <v>297</v>
      </c>
      <c r="H51" s="87" t="s">
        <v>1313</v>
      </c>
      <c r="I51" s="88" t="s">
        <v>298</v>
      </c>
      <c r="J51" s="89"/>
    </row>
    <row r="52" spans="2:10" ht="72" customHeight="1" x14ac:dyDescent="0.35">
      <c r="B52" s="83" t="s">
        <v>299</v>
      </c>
      <c r="C52" s="84" t="s">
        <v>236</v>
      </c>
      <c r="D52" s="69" t="s">
        <v>202</v>
      </c>
      <c r="E52" s="85" t="s">
        <v>104</v>
      </c>
      <c r="F52" s="45" t="s">
        <v>296</v>
      </c>
      <c r="G52" s="86" t="s">
        <v>1457</v>
      </c>
      <c r="H52" s="87" t="s">
        <v>300</v>
      </c>
      <c r="I52" s="88" t="s">
        <v>1688</v>
      </c>
      <c r="J52" s="89"/>
    </row>
    <row r="53" spans="2:10" ht="72" customHeight="1" x14ac:dyDescent="0.35">
      <c r="B53" s="83" t="s">
        <v>301</v>
      </c>
      <c r="C53" s="84" t="s">
        <v>236</v>
      </c>
      <c r="D53" s="69" t="s">
        <v>202</v>
      </c>
      <c r="E53" s="85" t="s">
        <v>146</v>
      </c>
      <c r="F53" s="45" t="s">
        <v>296</v>
      </c>
      <c r="G53" s="86" t="s">
        <v>1314</v>
      </c>
      <c r="H53" s="87" t="s">
        <v>302</v>
      </c>
      <c r="I53" s="88" t="s">
        <v>303</v>
      </c>
      <c r="J53" s="89" t="s">
        <v>140</v>
      </c>
    </row>
    <row r="54" spans="2:10" ht="72" customHeight="1" x14ac:dyDescent="0.35">
      <c r="B54" s="83" t="s">
        <v>304</v>
      </c>
      <c r="C54" s="84" t="s">
        <v>236</v>
      </c>
      <c r="D54" s="69" t="s">
        <v>214</v>
      </c>
      <c r="E54" s="85" t="s">
        <v>137</v>
      </c>
      <c r="F54" s="45" t="s">
        <v>1596</v>
      </c>
      <c r="G54" s="86" t="s">
        <v>305</v>
      </c>
      <c r="H54" s="87" t="s">
        <v>306</v>
      </c>
      <c r="I54" s="88" t="s">
        <v>307</v>
      </c>
      <c r="J54" s="89"/>
    </row>
    <row r="55" spans="2:10" ht="72" customHeight="1" x14ac:dyDescent="0.35">
      <c r="B55" s="83" t="s">
        <v>308</v>
      </c>
      <c r="C55" s="84" t="s">
        <v>236</v>
      </c>
      <c r="D55" s="69" t="s">
        <v>214</v>
      </c>
      <c r="E55" s="85" t="s">
        <v>104</v>
      </c>
      <c r="F55" s="45" t="s">
        <v>1596</v>
      </c>
      <c r="G55" s="86" t="s">
        <v>309</v>
      </c>
      <c r="H55" s="87" t="s">
        <v>310</v>
      </c>
      <c r="I55" s="88" t="s">
        <v>311</v>
      </c>
      <c r="J55" s="89"/>
    </row>
    <row r="56" spans="2:10" ht="72" customHeight="1" x14ac:dyDescent="0.35">
      <c r="B56" s="83" t="s">
        <v>312</v>
      </c>
      <c r="C56" s="84" t="s">
        <v>236</v>
      </c>
      <c r="D56" s="69" t="s">
        <v>214</v>
      </c>
      <c r="E56" s="85" t="s">
        <v>146</v>
      </c>
      <c r="F56" s="45" t="s">
        <v>1596</v>
      </c>
      <c r="G56" s="86" t="s">
        <v>313</v>
      </c>
      <c r="H56" s="87" t="s">
        <v>314</v>
      </c>
      <c r="I56" s="88" t="s">
        <v>315</v>
      </c>
      <c r="J56" s="89"/>
    </row>
    <row r="57" spans="2:10" ht="72" customHeight="1" x14ac:dyDescent="0.35">
      <c r="B57" s="83" t="s">
        <v>316</v>
      </c>
      <c r="C57" s="84" t="s">
        <v>236</v>
      </c>
      <c r="D57" s="69" t="s">
        <v>225</v>
      </c>
      <c r="E57" s="85" t="s">
        <v>137</v>
      </c>
      <c r="F57" s="45" t="s">
        <v>1592</v>
      </c>
      <c r="G57" s="86" t="s">
        <v>1315</v>
      </c>
      <c r="H57" s="87" t="s">
        <v>317</v>
      </c>
      <c r="I57" s="88" t="s">
        <v>318</v>
      </c>
      <c r="J57" s="89"/>
    </row>
    <row r="58" spans="2:10" ht="72" customHeight="1" x14ac:dyDescent="0.35">
      <c r="B58" s="83" t="s">
        <v>319</v>
      </c>
      <c r="C58" s="84" t="s">
        <v>236</v>
      </c>
      <c r="D58" s="69" t="s">
        <v>225</v>
      </c>
      <c r="E58" s="85" t="s">
        <v>104</v>
      </c>
      <c r="F58" s="45" t="s">
        <v>1592</v>
      </c>
      <c r="G58" s="86" t="s">
        <v>320</v>
      </c>
      <c r="H58" s="87" t="s">
        <v>219</v>
      </c>
      <c r="I58" s="88" t="s">
        <v>321</v>
      </c>
      <c r="J58" s="89"/>
    </row>
    <row r="59" spans="2:10" ht="72" customHeight="1" x14ac:dyDescent="0.35">
      <c r="B59" s="83" t="s">
        <v>322</v>
      </c>
      <c r="C59" s="84" t="s">
        <v>236</v>
      </c>
      <c r="D59" s="69" t="s">
        <v>225</v>
      </c>
      <c r="E59" s="85" t="s">
        <v>146</v>
      </c>
      <c r="F59" s="45" t="s">
        <v>1592</v>
      </c>
      <c r="G59" s="86" t="s">
        <v>323</v>
      </c>
      <c r="H59" s="87" t="s">
        <v>324</v>
      </c>
      <c r="I59" s="88" t="s">
        <v>325</v>
      </c>
      <c r="J59" s="89"/>
    </row>
    <row r="60" spans="2:10" ht="72" customHeight="1" x14ac:dyDescent="0.35">
      <c r="B60" s="83" t="s">
        <v>326</v>
      </c>
      <c r="C60" s="84" t="s">
        <v>236</v>
      </c>
      <c r="D60" s="69" t="s">
        <v>327</v>
      </c>
      <c r="E60" s="85" t="s">
        <v>137</v>
      </c>
      <c r="F60" s="45" t="s">
        <v>328</v>
      </c>
      <c r="G60" s="86" t="s">
        <v>1316</v>
      </c>
      <c r="H60" s="87" t="s">
        <v>1317</v>
      </c>
      <c r="I60" s="88" t="s">
        <v>329</v>
      </c>
      <c r="J60" s="89"/>
    </row>
    <row r="61" spans="2:10" ht="72" customHeight="1" x14ac:dyDescent="0.35">
      <c r="B61" s="83" t="s">
        <v>330</v>
      </c>
      <c r="C61" s="84" t="s">
        <v>236</v>
      </c>
      <c r="D61" s="69" t="s">
        <v>327</v>
      </c>
      <c r="E61" s="85" t="s">
        <v>104</v>
      </c>
      <c r="F61" s="45" t="s">
        <v>328</v>
      </c>
      <c r="G61" s="86" t="s">
        <v>1318</v>
      </c>
      <c r="H61" s="87" t="s">
        <v>1597</v>
      </c>
      <c r="I61" s="88" t="s">
        <v>1598</v>
      </c>
      <c r="J61" s="89"/>
    </row>
    <row r="62" spans="2:10" ht="72" customHeight="1" x14ac:dyDescent="0.35">
      <c r="B62" s="83" t="s">
        <v>331</v>
      </c>
      <c r="C62" s="84" t="s">
        <v>236</v>
      </c>
      <c r="D62" s="69" t="s">
        <v>327</v>
      </c>
      <c r="E62" s="85" t="s">
        <v>146</v>
      </c>
      <c r="F62" s="45" t="s">
        <v>328</v>
      </c>
      <c r="G62" s="86" t="s">
        <v>332</v>
      </c>
      <c r="H62" s="87" t="s">
        <v>333</v>
      </c>
      <c r="I62" s="88" t="s">
        <v>334</v>
      </c>
      <c r="J62" s="89"/>
    </row>
    <row r="63" spans="2:10" ht="72" customHeight="1" x14ac:dyDescent="0.35">
      <c r="B63" s="83" t="s">
        <v>335</v>
      </c>
      <c r="C63" s="84" t="s">
        <v>336</v>
      </c>
      <c r="D63" s="69" t="s">
        <v>53</v>
      </c>
      <c r="E63" s="85" t="s">
        <v>137</v>
      </c>
      <c r="F63" s="45" t="s">
        <v>337</v>
      </c>
      <c r="G63" s="86" t="s">
        <v>1319</v>
      </c>
      <c r="H63" s="87" t="s">
        <v>1320</v>
      </c>
      <c r="I63" s="88" t="s">
        <v>338</v>
      </c>
      <c r="J63" s="89" t="s">
        <v>140</v>
      </c>
    </row>
    <row r="64" spans="2:10" ht="72" customHeight="1" x14ac:dyDescent="0.35">
      <c r="B64" s="83" t="s">
        <v>339</v>
      </c>
      <c r="C64" s="84" t="s">
        <v>336</v>
      </c>
      <c r="D64" s="69" t="s">
        <v>53</v>
      </c>
      <c r="E64" s="85" t="s">
        <v>104</v>
      </c>
      <c r="F64" s="45" t="s">
        <v>337</v>
      </c>
      <c r="G64" s="86" t="s">
        <v>340</v>
      </c>
      <c r="H64" s="87" t="s">
        <v>341</v>
      </c>
      <c r="I64" s="88" t="s">
        <v>342</v>
      </c>
      <c r="J64" s="89" t="s">
        <v>140</v>
      </c>
    </row>
    <row r="65" spans="2:10" ht="72" customHeight="1" x14ac:dyDescent="0.35">
      <c r="B65" s="83" t="s">
        <v>343</v>
      </c>
      <c r="C65" s="84" t="s">
        <v>336</v>
      </c>
      <c r="D65" s="69" t="s">
        <v>53</v>
      </c>
      <c r="E65" s="85" t="s">
        <v>146</v>
      </c>
      <c r="F65" s="45" t="s">
        <v>337</v>
      </c>
      <c r="G65" s="86" t="s">
        <v>344</v>
      </c>
      <c r="H65" s="87" t="s">
        <v>345</v>
      </c>
      <c r="I65" s="88" t="s">
        <v>346</v>
      </c>
      <c r="J65" s="89" t="s">
        <v>140</v>
      </c>
    </row>
    <row r="66" spans="2:10" ht="72" customHeight="1" x14ac:dyDescent="0.35">
      <c r="B66" s="83" t="s">
        <v>347</v>
      </c>
      <c r="C66" s="84" t="s">
        <v>336</v>
      </c>
      <c r="D66" s="69" t="s">
        <v>55</v>
      </c>
      <c r="E66" s="85" t="s">
        <v>137</v>
      </c>
      <c r="F66" s="45" t="s">
        <v>348</v>
      </c>
      <c r="G66" s="86" t="s">
        <v>349</v>
      </c>
      <c r="H66" s="87" t="s">
        <v>350</v>
      </c>
      <c r="I66" s="88" t="s">
        <v>351</v>
      </c>
      <c r="J66" s="89"/>
    </row>
    <row r="67" spans="2:10" ht="72" customHeight="1" x14ac:dyDescent="0.35">
      <c r="B67" s="83" t="s">
        <v>352</v>
      </c>
      <c r="C67" s="84" t="s">
        <v>336</v>
      </c>
      <c r="D67" s="69" t="s">
        <v>55</v>
      </c>
      <c r="E67" s="85" t="s">
        <v>104</v>
      </c>
      <c r="F67" s="45" t="s">
        <v>348</v>
      </c>
      <c r="G67" s="86" t="s">
        <v>353</v>
      </c>
      <c r="H67" s="87" t="s">
        <v>354</v>
      </c>
      <c r="I67" s="88" t="s">
        <v>355</v>
      </c>
      <c r="J67" s="89"/>
    </row>
    <row r="68" spans="2:10" ht="72" customHeight="1" x14ac:dyDescent="0.35">
      <c r="B68" s="83" t="s">
        <v>356</v>
      </c>
      <c r="C68" s="84" t="s">
        <v>336</v>
      </c>
      <c r="D68" s="69" t="s">
        <v>55</v>
      </c>
      <c r="E68" s="85" t="s">
        <v>146</v>
      </c>
      <c r="F68" s="45" t="s">
        <v>348</v>
      </c>
      <c r="G68" s="86" t="s">
        <v>357</v>
      </c>
      <c r="H68" s="87" t="s">
        <v>358</v>
      </c>
      <c r="I68" s="88" t="s">
        <v>359</v>
      </c>
      <c r="J68" s="89"/>
    </row>
    <row r="69" spans="2:10" ht="72" customHeight="1" x14ac:dyDescent="0.35">
      <c r="B69" s="83" t="s">
        <v>360</v>
      </c>
      <c r="C69" s="84" t="s">
        <v>336</v>
      </c>
      <c r="D69" s="69" t="s">
        <v>57</v>
      </c>
      <c r="E69" s="85" t="s">
        <v>137</v>
      </c>
      <c r="F69" s="45" t="s">
        <v>361</v>
      </c>
      <c r="G69" s="86" t="s">
        <v>362</v>
      </c>
      <c r="H69" s="87" t="s">
        <v>363</v>
      </c>
      <c r="I69" s="88" t="s">
        <v>364</v>
      </c>
      <c r="J69" s="89"/>
    </row>
    <row r="70" spans="2:10" ht="72" customHeight="1" x14ac:dyDescent="0.35">
      <c r="B70" s="83" t="s">
        <v>365</v>
      </c>
      <c r="C70" s="84" t="s">
        <v>336</v>
      </c>
      <c r="D70" s="69" t="s">
        <v>57</v>
      </c>
      <c r="E70" s="85" t="s">
        <v>104</v>
      </c>
      <c r="F70" s="45" t="s">
        <v>361</v>
      </c>
      <c r="G70" s="86" t="s">
        <v>1321</v>
      </c>
      <c r="H70" s="87" t="s">
        <v>366</v>
      </c>
      <c r="I70" s="88" t="s">
        <v>367</v>
      </c>
      <c r="J70" s="89" t="s">
        <v>140</v>
      </c>
    </row>
    <row r="71" spans="2:10" ht="72" customHeight="1" x14ac:dyDescent="0.35">
      <c r="B71" s="83" t="s">
        <v>368</v>
      </c>
      <c r="C71" s="84" t="s">
        <v>336</v>
      </c>
      <c r="D71" s="69" t="s">
        <v>57</v>
      </c>
      <c r="E71" s="85" t="s">
        <v>146</v>
      </c>
      <c r="F71" s="45" t="s">
        <v>361</v>
      </c>
      <c r="G71" s="86" t="s">
        <v>1322</v>
      </c>
      <c r="H71" s="87" t="s">
        <v>1323</v>
      </c>
      <c r="I71" s="88" t="s">
        <v>369</v>
      </c>
      <c r="J71" s="89" t="s">
        <v>140</v>
      </c>
    </row>
    <row r="72" spans="2:10" ht="72" customHeight="1" x14ac:dyDescent="0.35">
      <c r="B72" s="83" t="s">
        <v>370</v>
      </c>
      <c r="C72" s="84" t="s">
        <v>336</v>
      </c>
      <c r="D72" s="69" t="s">
        <v>59</v>
      </c>
      <c r="E72" s="85" t="s">
        <v>137</v>
      </c>
      <c r="F72" s="45" t="s">
        <v>371</v>
      </c>
      <c r="G72" s="86" t="s">
        <v>372</v>
      </c>
      <c r="H72" s="87" t="s">
        <v>373</v>
      </c>
      <c r="I72" s="88" t="s">
        <v>374</v>
      </c>
      <c r="J72" s="89"/>
    </row>
    <row r="73" spans="2:10" ht="72" customHeight="1" x14ac:dyDescent="0.35">
      <c r="B73" s="83" t="s">
        <v>375</v>
      </c>
      <c r="C73" s="84" t="s">
        <v>336</v>
      </c>
      <c r="D73" s="69" t="s">
        <v>59</v>
      </c>
      <c r="E73" s="85" t="s">
        <v>104</v>
      </c>
      <c r="F73" s="45" t="s">
        <v>371</v>
      </c>
      <c r="G73" s="86" t="s">
        <v>376</v>
      </c>
      <c r="H73" s="87" t="s">
        <v>377</v>
      </c>
      <c r="I73" s="88" t="s">
        <v>378</v>
      </c>
      <c r="J73" s="89"/>
    </row>
    <row r="74" spans="2:10" ht="72" customHeight="1" x14ac:dyDescent="0.35">
      <c r="B74" s="83" t="s">
        <v>379</v>
      </c>
      <c r="C74" s="84" t="s">
        <v>336</v>
      </c>
      <c r="D74" s="69" t="s">
        <v>59</v>
      </c>
      <c r="E74" s="85" t="s">
        <v>146</v>
      </c>
      <c r="F74" s="45" t="s">
        <v>371</v>
      </c>
      <c r="G74" s="86" t="s">
        <v>380</v>
      </c>
      <c r="H74" s="87" t="s">
        <v>381</v>
      </c>
      <c r="I74" s="88" t="s">
        <v>382</v>
      </c>
      <c r="J74" s="89"/>
    </row>
    <row r="75" spans="2:10" ht="72" customHeight="1" x14ac:dyDescent="0.35">
      <c r="B75" s="83" t="s">
        <v>383</v>
      </c>
      <c r="C75" s="84" t="s">
        <v>336</v>
      </c>
      <c r="D75" s="69" t="s">
        <v>61</v>
      </c>
      <c r="E75" s="85" t="s">
        <v>137</v>
      </c>
      <c r="F75" s="45" t="s">
        <v>1599</v>
      </c>
      <c r="G75" s="86" t="s">
        <v>1600</v>
      </c>
      <c r="H75" s="87" t="s">
        <v>384</v>
      </c>
      <c r="I75" s="88" t="s">
        <v>385</v>
      </c>
      <c r="J75" s="89"/>
    </row>
    <row r="76" spans="2:10" ht="72" customHeight="1" x14ac:dyDescent="0.35">
      <c r="B76" s="83" t="s">
        <v>386</v>
      </c>
      <c r="C76" s="84" t="s">
        <v>336</v>
      </c>
      <c r="D76" s="69" t="s">
        <v>61</v>
      </c>
      <c r="E76" s="85" t="s">
        <v>104</v>
      </c>
      <c r="F76" s="45" t="s">
        <v>1599</v>
      </c>
      <c r="G76" s="86" t="s">
        <v>387</v>
      </c>
      <c r="H76" s="87" t="s">
        <v>388</v>
      </c>
      <c r="I76" s="88" t="s">
        <v>389</v>
      </c>
      <c r="J76" s="89"/>
    </row>
    <row r="77" spans="2:10" ht="72" customHeight="1" x14ac:dyDescent="0.35">
      <c r="B77" s="83" t="s">
        <v>390</v>
      </c>
      <c r="C77" s="84" t="s">
        <v>336</v>
      </c>
      <c r="D77" s="69" t="s">
        <v>61</v>
      </c>
      <c r="E77" s="85" t="s">
        <v>146</v>
      </c>
      <c r="F77" s="45" t="s">
        <v>1599</v>
      </c>
      <c r="G77" s="86" t="s">
        <v>1692</v>
      </c>
      <c r="H77" s="87" t="s">
        <v>391</v>
      </c>
      <c r="I77" s="88" t="s">
        <v>392</v>
      </c>
      <c r="J77" s="89"/>
    </row>
    <row r="78" spans="2:10" ht="72" customHeight="1" x14ac:dyDescent="0.35">
      <c r="B78" s="83" t="s">
        <v>393</v>
      </c>
      <c r="C78" s="84" t="s">
        <v>336</v>
      </c>
      <c r="D78" s="69" t="s">
        <v>193</v>
      </c>
      <c r="E78" s="85" t="s">
        <v>137</v>
      </c>
      <c r="F78" s="45" t="s">
        <v>394</v>
      </c>
      <c r="G78" s="86" t="s">
        <v>1324</v>
      </c>
      <c r="H78" s="87" t="s">
        <v>1325</v>
      </c>
      <c r="I78" s="88" t="s">
        <v>1326</v>
      </c>
      <c r="J78" s="89"/>
    </row>
    <row r="79" spans="2:10" ht="72" customHeight="1" x14ac:dyDescent="0.35">
      <c r="B79" s="83" t="s">
        <v>395</v>
      </c>
      <c r="C79" s="84" t="s">
        <v>336</v>
      </c>
      <c r="D79" s="69" t="s">
        <v>193</v>
      </c>
      <c r="E79" s="85" t="s">
        <v>104</v>
      </c>
      <c r="F79" s="45" t="s">
        <v>394</v>
      </c>
      <c r="G79" s="86" t="s">
        <v>396</v>
      </c>
      <c r="H79" s="87" t="s">
        <v>1327</v>
      </c>
      <c r="I79" s="88" t="s">
        <v>1328</v>
      </c>
      <c r="J79" s="89"/>
    </row>
    <row r="80" spans="2:10" ht="72" customHeight="1" x14ac:dyDescent="0.35">
      <c r="B80" s="83" t="s">
        <v>397</v>
      </c>
      <c r="C80" s="84" t="s">
        <v>336</v>
      </c>
      <c r="D80" s="69" t="s">
        <v>193</v>
      </c>
      <c r="E80" s="85" t="s">
        <v>146</v>
      </c>
      <c r="F80" s="45" t="s">
        <v>394</v>
      </c>
      <c r="G80" s="86" t="s">
        <v>398</v>
      </c>
      <c r="H80" s="87" t="s">
        <v>399</v>
      </c>
      <c r="I80" s="88" t="s">
        <v>400</v>
      </c>
      <c r="J80" s="89"/>
    </row>
    <row r="81" spans="2:10" ht="72" customHeight="1" x14ac:dyDescent="0.35">
      <c r="B81" s="83" t="s">
        <v>401</v>
      </c>
      <c r="C81" s="84" t="s">
        <v>336</v>
      </c>
      <c r="D81" s="69" t="s">
        <v>202</v>
      </c>
      <c r="E81" s="85" t="s">
        <v>137</v>
      </c>
      <c r="F81" s="45" t="s">
        <v>402</v>
      </c>
      <c r="G81" s="86" t="s">
        <v>403</v>
      </c>
      <c r="H81" s="87" t="s">
        <v>404</v>
      </c>
      <c r="I81" s="88" t="s">
        <v>405</v>
      </c>
      <c r="J81" s="89"/>
    </row>
    <row r="82" spans="2:10" ht="72" customHeight="1" x14ac:dyDescent="0.35">
      <c r="B82" s="83" t="s">
        <v>406</v>
      </c>
      <c r="C82" s="84" t="s">
        <v>336</v>
      </c>
      <c r="D82" s="69" t="s">
        <v>202</v>
      </c>
      <c r="E82" s="85" t="s">
        <v>104</v>
      </c>
      <c r="F82" s="45" t="s">
        <v>402</v>
      </c>
      <c r="G82" s="86" t="s">
        <v>407</v>
      </c>
      <c r="H82" s="87" t="s">
        <v>408</v>
      </c>
      <c r="I82" s="88" t="s">
        <v>409</v>
      </c>
      <c r="J82" s="89"/>
    </row>
    <row r="83" spans="2:10" ht="72" customHeight="1" x14ac:dyDescent="0.35">
      <c r="B83" s="83" t="s">
        <v>410</v>
      </c>
      <c r="C83" s="84" t="s">
        <v>336</v>
      </c>
      <c r="D83" s="69" t="s">
        <v>202</v>
      </c>
      <c r="E83" s="85" t="s">
        <v>146</v>
      </c>
      <c r="F83" s="45" t="s">
        <v>402</v>
      </c>
      <c r="G83" s="86" t="s">
        <v>1701</v>
      </c>
      <c r="H83" s="87" t="s">
        <v>411</v>
      </c>
      <c r="I83" s="88" t="s">
        <v>412</v>
      </c>
      <c r="J83" s="89"/>
    </row>
    <row r="84" spans="2:10" ht="72" customHeight="1" x14ac:dyDescent="0.35">
      <c r="B84" s="83" t="s">
        <v>413</v>
      </c>
      <c r="C84" s="84" t="s">
        <v>336</v>
      </c>
      <c r="D84" s="69" t="s">
        <v>214</v>
      </c>
      <c r="E84" s="85" t="s">
        <v>137</v>
      </c>
      <c r="F84" s="45" t="s">
        <v>414</v>
      </c>
      <c r="G84" s="86" t="s">
        <v>415</v>
      </c>
      <c r="H84" s="87" t="s">
        <v>416</v>
      </c>
      <c r="I84" s="88" t="s">
        <v>417</v>
      </c>
      <c r="J84" s="89"/>
    </row>
    <row r="85" spans="2:10" ht="72" customHeight="1" x14ac:dyDescent="0.35">
      <c r="B85" s="83" t="s">
        <v>418</v>
      </c>
      <c r="C85" s="84" t="s">
        <v>336</v>
      </c>
      <c r="D85" s="69" t="s">
        <v>214</v>
      </c>
      <c r="E85" s="85" t="s">
        <v>104</v>
      </c>
      <c r="F85" s="45" t="s">
        <v>414</v>
      </c>
      <c r="G85" s="86" t="s">
        <v>419</v>
      </c>
      <c r="H85" s="87" t="s">
        <v>420</v>
      </c>
      <c r="I85" s="88" t="s">
        <v>421</v>
      </c>
      <c r="J85" s="89"/>
    </row>
    <row r="86" spans="2:10" ht="72" customHeight="1" x14ac:dyDescent="0.35">
      <c r="B86" s="83" t="s">
        <v>422</v>
      </c>
      <c r="C86" s="84" t="s">
        <v>336</v>
      </c>
      <c r="D86" s="69" t="s">
        <v>214</v>
      </c>
      <c r="E86" s="85" t="s">
        <v>146</v>
      </c>
      <c r="F86" s="45" t="s">
        <v>414</v>
      </c>
      <c r="G86" s="86" t="s">
        <v>1693</v>
      </c>
      <c r="H86" s="87" t="s">
        <v>423</v>
      </c>
      <c r="I86" s="88" t="s">
        <v>424</v>
      </c>
      <c r="J86" s="89"/>
    </row>
    <row r="87" spans="2:10" ht="72" customHeight="1" x14ac:dyDescent="0.35">
      <c r="B87" s="83" t="s">
        <v>425</v>
      </c>
      <c r="C87" s="84" t="s">
        <v>336</v>
      </c>
      <c r="D87" s="69" t="s">
        <v>225</v>
      </c>
      <c r="E87" s="85" t="s">
        <v>137</v>
      </c>
      <c r="F87" s="45" t="s">
        <v>1592</v>
      </c>
      <c r="G87" s="86" t="s">
        <v>426</v>
      </c>
      <c r="H87" s="87" t="s">
        <v>427</v>
      </c>
      <c r="I87" s="88" t="s">
        <v>428</v>
      </c>
      <c r="J87" s="89"/>
    </row>
    <row r="88" spans="2:10" ht="72" customHeight="1" x14ac:dyDescent="0.35">
      <c r="B88" s="83" t="s">
        <v>429</v>
      </c>
      <c r="C88" s="84" t="s">
        <v>336</v>
      </c>
      <c r="D88" s="69" t="s">
        <v>225</v>
      </c>
      <c r="E88" s="85" t="s">
        <v>104</v>
      </c>
      <c r="F88" s="45" t="s">
        <v>1592</v>
      </c>
      <c r="G88" s="86" t="s">
        <v>430</v>
      </c>
      <c r="H88" s="87" t="s">
        <v>219</v>
      </c>
      <c r="I88" s="88" t="s">
        <v>321</v>
      </c>
      <c r="J88" s="89"/>
    </row>
    <row r="89" spans="2:10" ht="72" customHeight="1" x14ac:dyDescent="0.35">
      <c r="B89" s="83" t="s">
        <v>431</v>
      </c>
      <c r="C89" s="84" t="s">
        <v>336</v>
      </c>
      <c r="D89" s="69" t="s">
        <v>225</v>
      </c>
      <c r="E89" s="85" t="s">
        <v>146</v>
      </c>
      <c r="F89" s="45" t="s">
        <v>1592</v>
      </c>
      <c r="G89" s="86" t="s">
        <v>432</v>
      </c>
      <c r="H89" s="87" t="s">
        <v>433</v>
      </c>
      <c r="I89" s="88" t="s">
        <v>434</v>
      </c>
      <c r="J89" s="89"/>
    </row>
    <row r="90" spans="2:10" ht="72" customHeight="1" x14ac:dyDescent="0.35">
      <c r="B90" s="83" t="s">
        <v>435</v>
      </c>
      <c r="C90" s="84" t="s">
        <v>436</v>
      </c>
      <c r="D90" s="69" t="s">
        <v>53</v>
      </c>
      <c r="E90" s="85" t="s">
        <v>137</v>
      </c>
      <c r="F90" s="45" t="s">
        <v>1329</v>
      </c>
      <c r="G90" s="86" t="s">
        <v>1694</v>
      </c>
      <c r="H90" s="87" t="s">
        <v>437</v>
      </c>
      <c r="I90" s="88" t="s">
        <v>438</v>
      </c>
      <c r="J90" s="89" t="s">
        <v>140</v>
      </c>
    </row>
    <row r="91" spans="2:10" ht="72" customHeight="1" x14ac:dyDescent="0.35">
      <c r="B91" s="83" t="s">
        <v>439</v>
      </c>
      <c r="C91" s="84" t="s">
        <v>436</v>
      </c>
      <c r="D91" s="69" t="s">
        <v>53</v>
      </c>
      <c r="E91" s="85" t="s">
        <v>104</v>
      </c>
      <c r="F91" s="45" t="s">
        <v>1329</v>
      </c>
      <c r="G91" s="86" t="s">
        <v>1695</v>
      </c>
      <c r="H91" s="87" t="s">
        <v>440</v>
      </c>
      <c r="I91" s="88" t="s">
        <v>441</v>
      </c>
      <c r="J91" s="89" t="s">
        <v>140</v>
      </c>
    </row>
    <row r="92" spans="2:10" ht="72" customHeight="1" x14ac:dyDescent="0.35">
      <c r="B92" s="83" t="s">
        <v>442</v>
      </c>
      <c r="C92" s="84" t="s">
        <v>436</v>
      </c>
      <c r="D92" s="69" t="s">
        <v>53</v>
      </c>
      <c r="E92" s="85" t="s">
        <v>146</v>
      </c>
      <c r="F92" s="45" t="s">
        <v>1329</v>
      </c>
      <c r="G92" s="86" t="s">
        <v>1330</v>
      </c>
      <c r="H92" s="87" t="s">
        <v>443</v>
      </c>
      <c r="I92" s="88" t="s">
        <v>444</v>
      </c>
      <c r="J92" s="89" t="s">
        <v>140</v>
      </c>
    </row>
    <row r="93" spans="2:10" ht="72" customHeight="1" x14ac:dyDescent="0.35">
      <c r="B93" s="83" t="s">
        <v>445</v>
      </c>
      <c r="C93" s="84" t="s">
        <v>436</v>
      </c>
      <c r="D93" s="69" t="s">
        <v>55</v>
      </c>
      <c r="E93" s="85" t="s">
        <v>137</v>
      </c>
      <c r="F93" s="45" t="s">
        <v>446</v>
      </c>
      <c r="G93" s="86" t="s">
        <v>1331</v>
      </c>
      <c r="H93" s="87" t="s">
        <v>1332</v>
      </c>
      <c r="I93" s="88" t="s">
        <v>1333</v>
      </c>
      <c r="J93" s="89" t="s">
        <v>140</v>
      </c>
    </row>
    <row r="94" spans="2:10" ht="72" customHeight="1" x14ac:dyDescent="0.35">
      <c r="B94" s="83" t="s">
        <v>447</v>
      </c>
      <c r="C94" s="84" t="s">
        <v>436</v>
      </c>
      <c r="D94" s="69" t="s">
        <v>55</v>
      </c>
      <c r="E94" s="85" t="s">
        <v>104</v>
      </c>
      <c r="F94" s="45" t="s">
        <v>446</v>
      </c>
      <c r="G94" s="86" t="s">
        <v>1334</v>
      </c>
      <c r="H94" s="87" t="s">
        <v>448</v>
      </c>
      <c r="I94" s="88" t="s">
        <v>449</v>
      </c>
      <c r="J94" s="89" t="s">
        <v>140</v>
      </c>
    </row>
    <row r="95" spans="2:10" ht="72" customHeight="1" x14ac:dyDescent="0.35">
      <c r="B95" s="83" t="s">
        <v>450</v>
      </c>
      <c r="C95" s="84" t="s">
        <v>436</v>
      </c>
      <c r="D95" s="69" t="s">
        <v>55</v>
      </c>
      <c r="E95" s="85" t="s">
        <v>146</v>
      </c>
      <c r="F95" s="45" t="s">
        <v>446</v>
      </c>
      <c r="G95" s="86" t="s">
        <v>1335</v>
      </c>
      <c r="H95" s="87" t="s">
        <v>451</v>
      </c>
      <c r="I95" s="88" t="s">
        <v>452</v>
      </c>
      <c r="J95" s="89" t="s">
        <v>140</v>
      </c>
    </row>
    <row r="96" spans="2:10" ht="72" customHeight="1" x14ac:dyDescent="0.35">
      <c r="B96" s="83" t="s">
        <v>453</v>
      </c>
      <c r="C96" s="84" t="s">
        <v>436</v>
      </c>
      <c r="D96" s="69" t="s">
        <v>57</v>
      </c>
      <c r="E96" s="85" t="s">
        <v>137</v>
      </c>
      <c r="F96" s="45" t="s">
        <v>454</v>
      </c>
      <c r="G96" s="86" t="s">
        <v>455</v>
      </c>
      <c r="H96" s="87" t="s">
        <v>1702</v>
      </c>
      <c r="I96" s="88" t="s">
        <v>456</v>
      </c>
      <c r="J96" s="89" t="s">
        <v>140</v>
      </c>
    </row>
    <row r="97" spans="2:10" ht="72" customHeight="1" x14ac:dyDescent="0.35">
      <c r="B97" s="83" t="s">
        <v>457</v>
      </c>
      <c r="C97" s="84" t="s">
        <v>436</v>
      </c>
      <c r="D97" s="69" t="s">
        <v>57</v>
      </c>
      <c r="E97" s="85" t="s">
        <v>104</v>
      </c>
      <c r="F97" s="45" t="s">
        <v>454</v>
      </c>
      <c r="G97" s="86" t="s">
        <v>1336</v>
      </c>
      <c r="H97" s="87" t="s">
        <v>458</v>
      </c>
      <c r="I97" s="88" t="s">
        <v>459</v>
      </c>
      <c r="J97" s="89" t="s">
        <v>140</v>
      </c>
    </row>
    <row r="98" spans="2:10" ht="72" customHeight="1" x14ac:dyDescent="0.35">
      <c r="B98" s="83" t="s">
        <v>460</v>
      </c>
      <c r="C98" s="84" t="s">
        <v>436</v>
      </c>
      <c r="D98" s="69" t="s">
        <v>57</v>
      </c>
      <c r="E98" s="85" t="s">
        <v>146</v>
      </c>
      <c r="F98" s="45" t="s">
        <v>454</v>
      </c>
      <c r="G98" s="86" t="s">
        <v>461</v>
      </c>
      <c r="H98" s="87" t="s">
        <v>462</v>
      </c>
      <c r="I98" s="88" t="s">
        <v>463</v>
      </c>
      <c r="J98" s="89" t="s">
        <v>140</v>
      </c>
    </row>
    <row r="99" spans="2:10" ht="72" customHeight="1" x14ac:dyDescent="0.35">
      <c r="B99" s="83" t="s">
        <v>464</v>
      </c>
      <c r="C99" s="84" t="s">
        <v>436</v>
      </c>
      <c r="D99" s="69" t="s">
        <v>59</v>
      </c>
      <c r="E99" s="85" t="s">
        <v>137</v>
      </c>
      <c r="F99" s="45" t="s">
        <v>465</v>
      </c>
      <c r="G99" s="86" t="s">
        <v>466</v>
      </c>
      <c r="H99" s="87" t="s">
        <v>467</v>
      </c>
      <c r="I99" s="88" t="s">
        <v>468</v>
      </c>
      <c r="J99" s="89"/>
    </row>
    <row r="100" spans="2:10" ht="72" customHeight="1" x14ac:dyDescent="0.35">
      <c r="B100" s="83" t="s">
        <v>469</v>
      </c>
      <c r="C100" s="84" t="s">
        <v>436</v>
      </c>
      <c r="D100" s="69" t="s">
        <v>59</v>
      </c>
      <c r="E100" s="85" t="s">
        <v>104</v>
      </c>
      <c r="F100" s="45" t="s">
        <v>465</v>
      </c>
      <c r="G100" s="86" t="s">
        <v>470</v>
      </c>
      <c r="H100" s="87" t="s">
        <v>471</v>
      </c>
      <c r="I100" s="88" t="s">
        <v>472</v>
      </c>
      <c r="J100" s="89"/>
    </row>
    <row r="101" spans="2:10" ht="72" customHeight="1" x14ac:dyDescent="0.35">
      <c r="B101" s="83" t="s">
        <v>473</v>
      </c>
      <c r="C101" s="84" t="s">
        <v>436</v>
      </c>
      <c r="D101" s="69" t="s">
        <v>59</v>
      </c>
      <c r="E101" s="85" t="s">
        <v>146</v>
      </c>
      <c r="F101" s="45" t="s">
        <v>465</v>
      </c>
      <c r="G101" s="86" t="s">
        <v>474</v>
      </c>
      <c r="H101" s="87" t="s">
        <v>475</v>
      </c>
      <c r="I101" s="88" t="s">
        <v>476</v>
      </c>
      <c r="J101" s="89"/>
    </row>
    <row r="102" spans="2:10" ht="72" customHeight="1" x14ac:dyDescent="0.35">
      <c r="B102" s="83" t="s">
        <v>477</v>
      </c>
      <c r="C102" s="84" t="s">
        <v>436</v>
      </c>
      <c r="D102" s="69" t="s">
        <v>61</v>
      </c>
      <c r="E102" s="85" t="s">
        <v>137</v>
      </c>
      <c r="F102" s="45" t="s">
        <v>478</v>
      </c>
      <c r="G102" s="86" t="s">
        <v>479</v>
      </c>
      <c r="H102" s="87" t="s">
        <v>480</v>
      </c>
      <c r="I102" s="88" t="s">
        <v>1499</v>
      </c>
      <c r="J102" s="89"/>
    </row>
    <row r="103" spans="2:10" ht="72" customHeight="1" x14ac:dyDescent="0.35">
      <c r="B103" s="83" t="s">
        <v>481</v>
      </c>
      <c r="C103" s="84" t="s">
        <v>436</v>
      </c>
      <c r="D103" s="69" t="s">
        <v>61</v>
      </c>
      <c r="E103" s="85" t="s">
        <v>104</v>
      </c>
      <c r="F103" s="45" t="s">
        <v>478</v>
      </c>
      <c r="G103" s="86" t="s">
        <v>482</v>
      </c>
      <c r="H103" s="87" t="s">
        <v>483</v>
      </c>
      <c r="I103" s="88" t="s">
        <v>484</v>
      </c>
      <c r="J103" s="89"/>
    </row>
    <row r="104" spans="2:10" ht="72" customHeight="1" x14ac:dyDescent="0.35">
      <c r="B104" s="83" t="s">
        <v>485</v>
      </c>
      <c r="C104" s="84" t="s">
        <v>436</v>
      </c>
      <c r="D104" s="69" t="s">
        <v>61</v>
      </c>
      <c r="E104" s="85" t="s">
        <v>146</v>
      </c>
      <c r="F104" s="45" t="s">
        <v>478</v>
      </c>
      <c r="G104" s="86" t="s">
        <v>486</v>
      </c>
      <c r="H104" s="87" t="s">
        <v>487</v>
      </c>
      <c r="I104" s="88" t="s">
        <v>488</v>
      </c>
      <c r="J104" s="89"/>
    </row>
    <row r="105" spans="2:10" ht="72" customHeight="1" x14ac:dyDescent="0.35">
      <c r="B105" s="83" t="s">
        <v>489</v>
      </c>
      <c r="C105" s="84" t="s">
        <v>436</v>
      </c>
      <c r="D105" s="69" t="s">
        <v>193</v>
      </c>
      <c r="E105" s="85" t="s">
        <v>137</v>
      </c>
      <c r="F105" s="45" t="s">
        <v>490</v>
      </c>
      <c r="G105" s="86" t="s">
        <v>1696</v>
      </c>
      <c r="H105" s="87" t="s">
        <v>491</v>
      </c>
      <c r="I105" s="88" t="s">
        <v>1697</v>
      </c>
      <c r="J105" s="89"/>
    </row>
    <row r="106" spans="2:10" ht="72" customHeight="1" x14ac:dyDescent="0.35">
      <c r="B106" s="83" t="s">
        <v>492</v>
      </c>
      <c r="C106" s="84" t="s">
        <v>436</v>
      </c>
      <c r="D106" s="69" t="s">
        <v>193</v>
      </c>
      <c r="E106" s="85" t="s">
        <v>104</v>
      </c>
      <c r="F106" s="45" t="s">
        <v>490</v>
      </c>
      <c r="G106" s="86" t="s">
        <v>493</v>
      </c>
      <c r="H106" s="87" t="s">
        <v>494</v>
      </c>
      <c r="I106" s="88" t="s">
        <v>495</v>
      </c>
      <c r="J106" s="89" t="s">
        <v>140</v>
      </c>
    </row>
    <row r="107" spans="2:10" ht="72" customHeight="1" x14ac:dyDescent="0.35">
      <c r="B107" s="83" t="s">
        <v>496</v>
      </c>
      <c r="C107" s="84" t="s">
        <v>436</v>
      </c>
      <c r="D107" s="69" t="s">
        <v>193</v>
      </c>
      <c r="E107" s="85" t="s">
        <v>146</v>
      </c>
      <c r="F107" s="45" t="s">
        <v>490</v>
      </c>
      <c r="G107" s="86" t="s">
        <v>497</v>
      </c>
      <c r="H107" s="87" t="s">
        <v>498</v>
      </c>
      <c r="I107" s="88" t="s">
        <v>499</v>
      </c>
      <c r="J107" s="89" t="s">
        <v>140</v>
      </c>
    </row>
    <row r="108" spans="2:10" ht="72" customHeight="1" x14ac:dyDescent="0.35">
      <c r="B108" s="83" t="s">
        <v>500</v>
      </c>
      <c r="C108" s="84" t="s">
        <v>436</v>
      </c>
      <c r="D108" s="69" t="s">
        <v>202</v>
      </c>
      <c r="E108" s="85" t="s">
        <v>137</v>
      </c>
      <c r="F108" s="45" t="s">
        <v>1601</v>
      </c>
      <c r="G108" s="86" t="s">
        <v>501</v>
      </c>
      <c r="H108" s="87" t="s">
        <v>1337</v>
      </c>
      <c r="I108" s="88" t="s">
        <v>502</v>
      </c>
      <c r="J108" s="89"/>
    </row>
    <row r="109" spans="2:10" ht="72" customHeight="1" x14ac:dyDescent="0.35">
      <c r="B109" s="83" t="s">
        <v>503</v>
      </c>
      <c r="C109" s="84" t="s">
        <v>436</v>
      </c>
      <c r="D109" s="69" t="s">
        <v>202</v>
      </c>
      <c r="E109" s="85" t="s">
        <v>104</v>
      </c>
      <c r="F109" s="45" t="s">
        <v>1601</v>
      </c>
      <c r="G109" s="86" t="s">
        <v>504</v>
      </c>
      <c r="H109" s="87" t="s">
        <v>505</v>
      </c>
      <c r="I109" s="88" t="s">
        <v>506</v>
      </c>
      <c r="J109" s="89"/>
    </row>
    <row r="110" spans="2:10" ht="72" customHeight="1" x14ac:dyDescent="0.35">
      <c r="B110" s="83" t="s">
        <v>507</v>
      </c>
      <c r="C110" s="84" t="s">
        <v>436</v>
      </c>
      <c r="D110" s="69" t="s">
        <v>202</v>
      </c>
      <c r="E110" s="85" t="s">
        <v>146</v>
      </c>
      <c r="F110" s="45" t="s">
        <v>1601</v>
      </c>
      <c r="G110" s="86" t="s">
        <v>1698</v>
      </c>
      <c r="H110" s="87" t="s">
        <v>508</v>
      </c>
      <c r="I110" s="88" t="s">
        <v>509</v>
      </c>
      <c r="J110" s="89"/>
    </row>
    <row r="111" spans="2:10" ht="72" customHeight="1" x14ac:dyDescent="0.35">
      <c r="B111" s="83" t="s">
        <v>510</v>
      </c>
      <c r="C111" s="84" t="s">
        <v>436</v>
      </c>
      <c r="D111" s="69" t="s">
        <v>214</v>
      </c>
      <c r="E111" s="85" t="s">
        <v>137</v>
      </c>
      <c r="F111" s="45" t="s">
        <v>1338</v>
      </c>
      <c r="G111" s="86" t="s">
        <v>1339</v>
      </c>
      <c r="H111" s="87" t="s">
        <v>1340</v>
      </c>
      <c r="I111" s="88" t="s">
        <v>1341</v>
      </c>
      <c r="J111" s="89"/>
    </row>
    <row r="112" spans="2:10" ht="72" customHeight="1" x14ac:dyDescent="0.35">
      <c r="B112" s="83" t="s">
        <v>511</v>
      </c>
      <c r="C112" s="84" t="s">
        <v>436</v>
      </c>
      <c r="D112" s="69" t="s">
        <v>214</v>
      </c>
      <c r="E112" s="85" t="s">
        <v>104</v>
      </c>
      <c r="F112" s="45" t="s">
        <v>1338</v>
      </c>
      <c r="G112" s="86" t="s">
        <v>1699</v>
      </c>
      <c r="H112" s="87" t="s">
        <v>1342</v>
      </c>
      <c r="I112" s="88" t="s">
        <v>1343</v>
      </c>
      <c r="J112" s="89"/>
    </row>
    <row r="113" spans="2:10" ht="72" customHeight="1" x14ac:dyDescent="0.35">
      <c r="B113" s="83" t="s">
        <v>512</v>
      </c>
      <c r="C113" s="84" t="s">
        <v>436</v>
      </c>
      <c r="D113" s="69" t="s">
        <v>214</v>
      </c>
      <c r="E113" s="85" t="s">
        <v>146</v>
      </c>
      <c r="F113" s="45" t="s">
        <v>1338</v>
      </c>
      <c r="G113" s="86" t="s">
        <v>1344</v>
      </c>
      <c r="H113" s="87" t="s">
        <v>1345</v>
      </c>
      <c r="I113" s="88" t="s">
        <v>1346</v>
      </c>
      <c r="J113" s="89"/>
    </row>
    <row r="114" spans="2:10" ht="72" customHeight="1" x14ac:dyDescent="0.35">
      <c r="B114" s="83" t="s">
        <v>513</v>
      </c>
      <c r="C114" s="84" t="s">
        <v>436</v>
      </c>
      <c r="D114" s="69" t="s">
        <v>225</v>
      </c>
      <c r="E114" s="85" t="s">
        <v>137</v>
      </c>
      <c r="F114" s="45" t="s">
        <v>1347</v>
      </c>
      <c r="G114" s="86" t="s">
        <v>1348</v>
      </c>
      <c r="H114" s="87" t="s">
        <v>1700</v>
      </c>
      <c r="I114" s="88" t="s">
        <v>514</v>
      </c>
      <c r="J114" s="89"/>
    </row>
    <row r="115" spans="2:10" ht="72" customHeight="1" x14ac:dyDescent="0.35">
      <c r="B115" s="83" t="s">
        <v>515</v>
      </c>
      <c r="C115" s="84" t="s">
        <v>436</v>
      </c>
      <c r="D115" s="69" t="s">
        <v>225</v>
      </c>
      <c r="E115" s="85" t="s">
        <v>104</v>
      </c>
      <c r="F115" s="45" t="s">
        <v>1347</v>
      </c>
      <c r="G115" s="86" t="s">
        <v>1349</v>
      </c>
      <c r="H115" s="87" t="s">
        <v>516</v>
      </c>
      <c r="I115" s="88" t="s">
        <v>1350</v>
      </c>
      <c r="J115" s="89"/>
    </row>
    <row r="116" spans="2:10" ht="72" customHeight="1" x14ac:dyDescent="0.35">
      <c r="B116" s="83" t="s">
        <v>517</v>
      </c>
      <c r="C116" s="84" t="s">
        <v>436</v>
      </c>
      <c r="D116" s="69" t="s">
        <v>225</v>
      </c>
      <c r="E116" s="85" t="s">
        <v>146</v>
      </c>
      <c r="F116" s="45" t="s">
        <v>1347</v>
      </c>
      <c r="G116" s="86" t="s">
        <v>1602</v>
      </c>
      <c r="H116" s="87" t="s">
        <v>1351</v>
      </c>
      <c r="I116" s="88" t="s">
        <v>518</v>
      </c>
      <c r="J116" s="89" t="s">
        <v>140</v>
      </c>
    </row>
    <row r="117" spans="2:10" ht="72" customHeight="1" x14ac:dyDescent="0.35">
      <c r="B117" s="83" t="s">
        <v>519</v>
      </c>
      <c r="C117" s="84" t="s">
        <v>436</v>
      </c>
      <c r="D117" s="69" t="s">
        <v>327</v>
      </c>
      <c r="E117" s="85" t="s">
        <v>137</v>
      </c>
      <c r="F117" s="45" t="s">
        <v>1603</v>
      </c>
      <c r="G117" s="86" t="s">
        <v>1703</v>
      </c>
      <c r="H117" s="87" t="s">
        <v>1352</v>
      </c>
      <c r="I117" s="88" t="s">
        <v>520</v>
      </c>
      <c r="J117" s="89"/>
    </row>
    <row r="118" spans="2:10" ht="72" customHeight="1" x14ac:dyDescent="0.35">
      <c r="B118" s="83" t="s">
        <v>521</v>
      </c>
      <c r="C118" s="84" t="s">
        <v>436</v>
      </c>
      <c r="D118" s="69" t="s">
        <v>327</v>
      </c>
      <c r="E118" s="85" t="s">
        <v>104</v>
      </c>
      <c r="F118" s="45" t="s">
        <v>1603</v>
      </c>
      <c r="G118" s="86" t="s">
        <v>1704</v>
      </c>
      <c r="H118" s="87" t="s">
        <v>1705</v>
      </c>
      <c r="I118" s="88" t="s">
        <v>522</v>
      </c>
      <c r="J118" s="89"/>
    </row>
    <row r="119" spans="2:10" ht="72" customHeight="1" x14ac:dyDescent="0.35">
      <c r="B119" s="83" t="s">
        <v>523</v>
      </c>
      <c r="C119" s="84" t="s">
        <v>436</v>
      </c>
      <c r="D119" s="69" t="s">
        <v>327</v>
      </c>
      <c r="E119" s="85" t="s">
        <v>146</v>
      </c>
      <c r="F119" s="45" t="s">
        <v>1603</v>
      </c>
      <c r="G119" s="86" t="s">
        <v>1604</v>
      </c>
      <c r="H119" s="87" t="s">
        <v>524</v>
      </c>
      <c r="I119" s="88" t="s">
        <v>525</v>
      </c>
      <c r="J119" s="89"/>
    </row>
    <row r="120" spans="2:10" ht="72" customHeight="1" x14ac:dyDescent="0.35">
      <c r="B120" s="83" t="s">
        <v>526</v>
      </c>
      <c r="C120" s="84" t="s">
        <v>436</v>
      </c>
      <c r="D120" s="69" t="s">
        <v>527</v>
      </c>
      <c r="E120" s="85" t="s">
        <v>137</v>
      </c>
      <c r="F120" s="45" t="s">
        <v>1592</v>
      </c>
      <c r="G120" s="86" t="s">
        <v>528</v>
      </c>
      <c r="H120" s="87" t="s">
        <v>529</v>
      </c>
      <c r="I120" s="88" t="s">
        <v>530</v>
      </c>
      <c r="J120" s="89"/>
    </row>
    <row r="121" spans="2:10" ht="72" customHeight="1" x14ac:dyDescent="0.35">
      <c r="B121" s="83" t="s">
        <v>531</v>
      </c>
      <c r="C121" s="84" t="s">
        <v>436</v>
      </c>
      <c r="D121" s="69" t="s">
        <v>527</v>
      </c>
      <c r="E121" s="85" t="s">
        <v>104</v>
      </c>
      <c r="F121" s="45" t="s">
        <v>1592</v>
      </c>
      <c r="G121" s="86" t="s">
        <v>430</v>
      </c>
      <c r="H121" s="87" t="s">
        <v>219</v>
      </c>
      <c r="I121" s="88" t="s">
        <v>321</v>
      </c>
      <c r="J121" s="89"/>
    </row>
    <row r="122" spans="2:10" ht="72" customHeight="1" x14ac:dyDescent="0.35">
      <c r="B122" s="83" t="s">
        <v>532</v>
      </c>
      <c r="C122" s="84" t="s">
        <v>436</v>
      </c>
      <c r="D122" s="69" t="s">
        <v>527</v>
      </c>
      <c r="E122" s="85" t="s">
        <v>146</v>
      </c>
      <c r="F122" s="45" t="s">
        <v>1592</v>
      </c>
      <c r="G122" s="86" t="s">
        <v>533</v>
      </c>
      <c r="H122" s="87" t="s">
        <v>1353</v>
      </c>
      <c r="I122" s="88" t="s">
        <v>534</v>
      </c>
      <c r="J122" s="89"/>
    </row>
    <row r="123" spans="2:10" ht="72" customHeight="1" x14ac:dyDescent="0.35">
      <c r="B123" s="83" t="s">
        <v>535</v>
      </c>
      <c r="C123" s="84" t="s">
        <v>536</v>
      </c>
      <c r="D123" s="69" t="s">
        <v>53</v>
      </c>
      <c r="E123" s="85" t="s">
        <v>137</v>
      </c>
      <c r="F123" s="45" t="s">
        <v>537</v>
      </c>
      <c r="G123" s="86" t="s">
        <v>1714</v>
      </c>
      <c r="H123" s="87" t="s">
        <v>1471</v>
      </c>
      <c r="I123" s="88" t="s">
        <v>538</v>
      </c>
      <c r="J123" s="89"/>
    </row>
    <row r="124" spans="2:10" ht="72" customHeight="1" x14ac:dyDescent="0.35">
      <c r="B124" s="83" t="s">
        <v>539</v>
      </c>
      <c r="C124" s="84" t="s">
        <v>536</v>
      </c>
      <c r="D124" s="69" t="s">
        <v>53</v>
      </c>
      <c r="E124" s="85" t="s">
        <v>104</v>
      </c>
      <c r="F124" s="45" t="s">
        <v>537</v>
      </c>
      <c r="G124" s="86" t="s">
        <v>540</v>
      </c>
      <c r="H124" s="87" t="s">
        <v>1711</v>
      </c>
      <c r="I124" s="88" t="s">
        <v>541</v>
      </c>
      <c r="J124" s="89" t="s">
        <v>140</v>
      </c>
    </row>
    <row r="125" spans="2:10" ht="72" customHeight="1" x14ac:dyDescent="0.35">
      <c r="B125" s="83" t="s">
        <v>542</v>
      </c>
      <c r="C125" s="84" t="s">
        <v>536</v>
      </c>
      <c r="D125" s="69" t="s">
        <v>53</v>
      </c>
      <c r="E125" s="85" t="s">
        <v>146</v>
      </c>
      <c r="F125" s="45" t="s">
        <v>537</v>
      </c>
      <c r="G125" s="86" t="s">
        <v>543</v>
      </c>
      <c r="H125" s="87" t="s">
        <v>544</v>
      </c>
      <c r="I125" s="88" t="s">
        <v>545</v>
      </c>
      <c r="J125" s="89" t="s">
        <v>140</v>
      </c>
    </row>
    <row r="126" spans="2:10" ht="72" customHeight="1" x14ac:dyDescent="0.35">
      <c r="B126" s="83" t="s">
        <v>546</v>
      </c>
      <c r="C126" s="84" t="s">
        <v>536</v>
      </c>
      <c r="D126" s="69" t="s">
        <v>55</v>
      </c>
      <c r="E126" s="85" t="s">
        <v>137</v>
      </c>
      <c r="F126" s="45" t="s">
        <v>547</v>
      </c>
      <c r="G126" s="86" t="s">
        <v>548</v>
      </c>
      <c r="H126" s="87" t="s">
        <v>549</v>
      </c>
      <c r="I126" s="88" t="s">
        <v>550</v>
      </c>
      <c r="J126" s="89" t="s">
        <v>140</v>
      </c>
    </row>
    <row r="127" spans="2:10" ht="72" customHeight="1" x14ac:dyDescent="0.35">
      <c r="B127" s="83" t="s">
        <v>551</v>
      </c>
      <c r="C127" s="84" t="s">
        <v>536</v>
      </c>
      <c r="D127" s="69" t="s">
        <v>55</v>
      </c>
      <c r="E127" s="85" t="s">
        <v>104</v>
      </c>
      <c r="F127" s="45" t="s">
        <v>547</v>
      </c>
      <c r="G127" s="86" t="s">
        <v>552</v>
      </c>
      <c r="H127" s="87" t="s">
        <v>553</v>
      </c>
      <c r="I127" s="88" t="s">
        <v>554</v>
      </c>
      <c r="J127" s="89" t="s">
        <v>140</v>
      </c>
    </row>
    <row r="128" spans="2:10" ht="72" customHeight="1" x14ac:dyDescent="0.35">
      <c r="B128" s="83" t="s">
        <v>555</v>
      </c>
      <c r="C128" s="84" t="s">
        <v>536</v>
      </c>
      <c r="D128" s="69" t="s">
        <v>55</v>
      </c>
      <c r="E128" s="85" t="s">
        <v>146</v>
      </c>
      <c r="F128" s="45" t="s">
        <v>547</v>
      </c>
      <c r="G128" s="86" t="s">
        <v>1354</v>
      </c>
      <c r="H128" s="87" t="s">
        <v>1355</v>
      </c>
      <c r="I128" s="88" t="s">
        <v>1356</v>
      </c>
      <c r="J128" s="89" t="s">
        <v>140</v>
      </c>
    </row>
    <row r="129" spans="2:10" ht="72" customHeight="1" x14ac:dyDescent="0.35">
      <c r="B129" s="83" t="s">
        <v>556</v>
      </c>
      <c r="C129" s="84" t="s">
        <v>536</v>
      </c>
      <c r="D129" s="69" t="s">
        <v>57</v>
      </c>
      <c r="E129" s="85" t="s">
        <v>137</v>
      </c>
      <c r="F129" s="45" t="s">
        <v>1357</v>
      </c>
      <c r="G129" s="86" t="s">
        <v>1706</v>
      </c>
      <c r="H129" s="87" t="s">
        <v>557</v>
      </c>
      <c r="I129" s="88" t="s">
        <v>558</v>
      </c>
      <c r="J129" s="89"/>
    </row>
    <row r="130" spans="2:10" ht="72" customHeight="1" x14ac:dyDescent="0.35">
      <c r="B130" s="83" t="s">
        <v>559</v>
      </c>
      <c r="C130" s="84" t="s">
        <v>536</v>
      </c>
      <c r="D130" s="69" t="s">
        <v>57</v>
      </c>
      <c r="E130" s="85" t="s">
        <v>104</v>
      </c>
      <c r="F130" s="45" t="s">
        <v>1357</v>
      </c>
      <c r="G130" s="86" t="s">
        <v>560</v>
      </c>
      <c r="H130" s="87" t="s">
        <v>561</v>
      </c>
      <c r="I130" s="88" t="s">
        <v>1707</v>
      </c>
      <c r="J130" s="89"/>
    </row>
    <row r="131" spans="2:10" ht="72" customHeight="1" x14ac:dyDescent="0.35">
      <c r="B131" s="83" t="s">
        <v>562</v>
      </c>
      <c r="C131" s="84" t="s">
        <v>536</v>
      </c>
      <c r="D131" s="69" t="s">
        <v>57</v>
      </c>
      <c r="E131" s="85" t="s">
        <v>146</v>
      </c>
      <c r="F131" s="45" t="s">
        <v>1357</v>
      </c>
      <c r="G131" s="86" t="s">
        <v>1715</v>
      </c>
      <c r="H131" s="87" t="s">
        <v>563</v>
      </c>
      <c r="I131" s="88" t="s">
        <v>564</v>
      </c>
      <c r="J131" s="89"/>
    </row>
    <row r="132" spans="2:10" ht="72" customHeight="1" x14ac:dyDescent="0.35">
      <c r="B132" s="83" t="s">
        <v>565</v>
      </c>
      <c r="C132" s="84" t="s">
        <v>536</v>
      </c>
      <c r="D132" s="69" t="s">
        <v>59</v>
      </c>
      <c r="E132" s="85" t="s">
        <v>137</v>
      </c>
      <c r="F132" s="45" t="s">
        <v>566</v>
      </c>
      <c r="G132" s="86" t="s">
        <v>1358</v>
      </c>
      <c r="H132" s="87" t="s">
        <v>567</v>
      </c>
      <c r="I132" s="88" t="s">
        <v>568</v>
      </c>
      <c r="J132" s="89"/>
    </row>
    <row r="133" spans="2:10" ht="72" customHeight="1" x14ac:dyDescent="0.35">
      <c r="B133" s="83" t="s">
        <v>569</v>
      </c>
      <c r="C133" s="84" t="s">
        <v>536</v>
      </c>
      <c r="D133" s="69" t="s">
        <v>59</v>
      </c>
      <c r="E133" s="85" t="s">
        <v>104</v>
      </c>
      <c r="F133" s="45" t="s">
        <v>566</v>
      </c>
      <c r="G133" s="86" t="s">
        <v>1498</v>
      </c>
      <c r="H133" s="87" t="s">
        <v>570</v>
      </c>
      <c r="I133" s="88" t="s">
        <v>571</v>
      </c>
      <c r="J133" s="89"/>
    </row>
    <row r="134" spans="2:10" ht="72" customHeight="1" x14ac:dyDescent="0.35">
      <c r="B134" s="83" t="s">
        <v>572</v>
      </c>
      <c r="C134" s="84" t="s">
        <v>536</v>
      </c>
      <c r="D134" s="69" t="s">
        <v>59</v>
      </c>
      <c r="E134" s="85" t="s">
        <v>146</v>
      </c>
      <c r="F134" s="45" t="s">
        <v>566</v>
      </c>
      <c r="G134" s="86" t="s">
        <v>1359</v>
      </c>
      <c r="H134" s="87" t="s">
        <v>573</v>
      </c>
      <c r="I134" s="88" t="s">
        <v>1360</v>
      </c>
      <c r="J134" s="89"/>
    </row>
    <row r="135" spans="2:10" ht="72" customHeight="1" x14ac:dyDescent="0.35">
      <c r="B135" s="83" t="s">
        <v>574</v>
      </c>
      <c r="C135" s="84" t="s">
        <v>536</v>
      </c>
      <c r="D135" s="69" t="s">
        <v>61</v>
      </c>
      <c r="E135" s="85" t="s">
        <v>137</v>
      </c>
      <c r="F135" s="45" t="s">
        <v>575</v>
      </c>
      <c r="G135" s="86" t="s">
        <v>1361</v>
      </c>
      <c r="H135" s="87" t="s">
        <v>576</v>
      </c>
      <c r="I135" s="88" t="s">
        <v>1605</v>
      </c>
      <c r="J135" s="89"/>
    </row>
    <row r="136" spans="2:10" ht="72" customHeight="1" x14ac:dyDescent="0.35">
      <c r="B136" s="83" t="s">
        <v>577</v>
      </c>
      <c r="C136" s="84" t="s">
        <v>536</v>
      </c>
      <c r="D136" s="69" t="s">
        <v>61</v>
      </c>
      <c r="E136" s="85" t="s">
        <v>104</v>
      </c>
      <c r="F136" s="45" t="s">
        <v>575</v>
      </c>
      <c r="G136" s="86" t="s">
        <v>1712</v>
      </c>
      <c r="H136" s="87" t="s">
        <v>578</v>
      </c>
      <c r="I136" s="88" t="s">
        <v>579</v>
      </c>
      <c r="J136" s="89"/>
    </row>
    <row r="137" spans="2:10" ht="72" customHeight="1" x14ac:dyDescent="0.35">
      <c r="B137" s="83" t="s">
        <v>580</v>
      </c>
      <c r="C137" s="84" t="s">
        <v>536</v>
      </c>
      <c r="D137" s="69" t="s">
        <v>61</v>
      </c>
      <c r="E137" s="85" t="s">
        <v>146</v>
      </c>
      <c r="F137" s="45" t="s">
        <v>575</v>
      </c>
      <c r="G137" s="86" t="s">
        <v>581</v>
      </c>
      <c r="H137" s="87" t="s">
        <v>582</v>
      </c>
      <c r="I137" s="88" t="s">
        <v>583</v>
      </c>
      <c r="J137" s="89"/>
    </row>
    <row r="138" spans="2:10" ht="72" customHeight="1" x14ac:dyDescent="0.35">
      <c r="B138" s="83" t="s">
        <v>584</v>
      </c>
      <c r="C138" s="84" t="s">
        <v>536</v>
      </c>
      <c r="D138" s="69" t="s">
        <v>193</v>
      </c>
      <c r="E138" s="85" t="s">
        <v>137</v>
      </c>
      <c r="F138" s="45" t="s">
        <v>585</v>
      </c>
      <c r="G138" s="86" t="s">
        <v>586</v>
      </c>
      <c r="H138" s="87" t="s">
        <v>587</v>
      </c>
      <c r="I138" s="88" t="s">
        <v>588</v>
      </c>
      <c r="J138" s="89"/>
    </row>
    <row r="139" spans="2:10" ht="72" customHeight="1" x14ac:dyDescent="0.35">
      <c r="B139" s="83" t="s">
        <v>589</v>
      </c>
      <c r="C139" s="84" t="s">
        <v>536</v>
      </c>
      <c r="D139" s="69" t="s">
        <v>193</v>
      </c>
      <c r="E139" s="85" t="s">
        <v>104</v>
      </c>
      <c r="F139" s="45" t="s">
        <v>585</v>
      </c>
      <c r="G139" s="86" t="s">
        <v>1708</v>
      </c>
      <c r="H139" s="87" t="s">
        <v>590</v>
      </c>
      <c r="I139" s="88" t="s">
        <v>591</v>
      </c>
      <c r="J139" s="89"/>
    </row>
    <row r="140" spans="2:10" ht="72" customHeight="1" x14ac:dyDescent="0.35">
      <c r="B140" s="83" t="s">
        <v>592</v>
      </c>
      <c r="C140" s="84" t="s">
        <v>536</v>
      </c>
      <c r="D140" s="69" t="s">
        <v>193</v>
      </c>
      <c r="E140" s="85" t="s">
        <v>146</v>
      </c>
      <c r="F140" s="45" t="s">
        <v>585</v>
      </c>
      <c r="G140" s="86" t="s">
        <v>1362</v>
      </c>
      <c r="H140" s="87" t="s">
        <v>593</v>
      </c>
      <c r="I140" s="88" t="s">
        <v>594</v>
      </c>
      <c r="J140" s="89"/>
    </row>
    <row r="141" spans="2:10" ht="72" customHeight="1" x14ac:dyDescent="0.35">
      <c r="B141" s="83" t="s">
        <v>595</v>
      </c>
      <c r="C141" s="84" t="s">
        <v>536</v>
      </c>
      <c r="D141" s="69" t="s">
        <v>202</v>
      </c>
      <c r="E141" s="85" t="s">
        <v>137</v>
      </c>
      <c r="F141" s="45" t="s">
        <v>596</v>
      </c>
      <c r="G141" s="86" t="s">
        <v>1363</v>
      </c>
      <c r="H141" s="87" t="s">
        <v>597</v>
      </c>
      <c r="I141" s="88" t="s">
        <v>1364</v>
      </c>
      <c r="J141" s="89"/>
    </row>
    <row r="142" spans="2:10" ht="72" customHeight="1" x14ac:dyDescent="0.35">
      <c r="B142" s="83" t="s">
        <v>598</v>
      </c>
      <c r="C142" s="84" t="s">
        <v>536</v>
      </c>
      <c r="D142" s="69" t="s">
        <v>202</v>
      </c>
      <c r="E142" s="85" t="s">
        <v>104</v>
      </c>
      <c r="F142" s="45" t="s">
        <v>596</v>
      </c>
      <c r="G142" s="86" t="s">
        <v>599</v>
      </c>
      <c r="H142" s="87" t="s">
        <v>600</v>
      </c>
      <c r="I142" s="88" t="s">
        <v>601</v>
      </c>
      <c r="J142" s="89" t="s">
        <v>140</v>
      </c>
    </row>
    <row r="143" spans="2:10" ht="72" customHeight="1" x14ac:dyDescent="0.35">
      <c r="B143" s="83" t="s">
        <v>602</v>
      </c>
      <c r="C143" s="84" t="s">
        <v>536</v>
      </c>
      <c r="D143" s="69" t="s">
        <v>202</v>
      </c>
      <c r="E143" s="85" t="s">
        <v>146</v>
      </c>
      <c r="F143" s="45" t="s">
        <v>596</v>
      </c>
      <c r="G143" s="86" t="s">
        <v>1365</v>
      </c>
      <c r="H143" s="87" t="s">
        <v>603</v>
      </c>
      <c r="I143" s="88" t="s">
        <v>604</v>
      </c>
      <c r="J143" s="89" t="s">
        <v>140</v>
      </c>
    </row>
    <row r="144" spans="2:10" ht="72" customHeight="1" x14ac:dyDescent="0.35">
      <c r="B144" s="83" t="s">
        <v>605</v>
      </c>
      <c r="C144" s="84" t="s">
        <v>536</v>
      </c>
      <c r="D144" s="69" t="s">
        <v>214</v>
      </c>
      <c r="E144" s="85" t="s">
        <v>137</v>
      </c>
      <c r="F144" s="45" t="s">
        <v>606</v>
      </c>
      <c r="G144" s="86" t="s">
        <v>607</v>
      </c>
      <c r="H144" s="87" t="s">
        <v>1547</v>
      </c>
      <c r="I144" s="88" t="s">
        <v>1709</v>
      </c>
      <c r="J144" s="89"/>
    </row>
    <row r="145" spans="2:10" ht="72" customHeight="1" x14ac:dyDescent="0.35">
      <c r="B145" s="83" t="s">
        <v>608</v>
      </c>
      <c r="C145" s="84" t="s">
        <v>536</v>
      </c>
      <c r="D145" s="69" t="s">
        <v>214</v>
      </c>
      <c r="E145" s="85" t="s">
        <v>104</v>
      </c>
      <c r="F145" s="45" t="s">
        <v>606</v>
      </c>
      <c r="G145" s="86" t="s">
        <v>609</v>
      </c>
      <c r="H145" s="87" t="s">
        <v>610</v>
      </c>
      <c r="I145" s="88" t="s">
        <v>1710</v>
      </c>
      <c r="J145" s="89"/>
    </row>
    <row r="146" spans="2:10" ht="72" customHeight="1" x14ac:dyDescent="0.35">
      <c r="B146" s="83" t="s">
        <v>611</v>
      </c>
      <c r="C146" s="84" t="s">
        <v>536</v>
      </c>
      <c r="D146" s="69" t="s">
        <v>214</v>
      </c>
      <c r="E146" s="85" t="s">
        <v>146</v>
      </c>
      <c r="F146" s="45" t="s">
        <v>606</v>
      </c>
      <c r="G146" s="86" t="s">
        <v>1606</v>
      </c>
      <c r="H146" s="87" t="s">
        <v>612</v>
      </c>
      <c r="I146" s="88" t="s">
        <v>613</v>
      </c>
      <c r="J146" s="89"/>
    </row>
    <row r="147" spans="2:10" ht="72" customHeight="1" x14ac:dyDescent="0.35">
      <c r="B147" s="83" t="s">
        <v>614</v>
      </c>
      <c r="C147" s="84" t="s">
        <v>536</v>
      </c>
      <c r="D147" s="69" t="s">
        <v>225</v>
      </c>
      <c r="E147" s="85" t="s">
        <v>137</v>
      </c>
      <c r="F147" s="45" t="s">
        <v>1607</v>
      </c>
      <c r="G147" s="86" t="s">
        <v>1608</v>
      </c>
      <c r="H147" s="87" t="s">
        <v>615</v>
      </c>
      <c r="I147" s="88" t="s">
        <v>616</v>
      </c>
      <c r="J147" s="89"/>
    </row>
    <row r="148" spans="2:10" ht="72" customHeight="1" x14ac:dyDescent="0.35">
      <c r="B148" s="83" t="s">
        <v>617</v>
      </c>
      <c r="C148" s="84" t="s">
        <v>536</v>
      </c>
      <c r="D148" s="69" t="s">
        <v>225</v>
      </c>
      <c r="E148" s="85" t="s">
        <v>104</v>
      </c>
      <c r="F148" s="45" t="s">
        <v>1607</v>
      </c>
      <c r="G148" s="86" t="s">
        <v>618</v>
      </c>
      <c r="H148" s="87" t="s">
        <v>619</v>
      </c>
      <c r="I148" s="88" t="s">
        <v>620</v>
      </c>
      <c r="J148" s="89"/>
    </row>
    <row r="149" spans="2:10" ht="72" customHeight="1" x14ac:dyDescent="0.35">
      <c r="B149" s="83" t="s">
        <v>621</v>
      </c>
      <c r="C149" s="84" t="s">
        <v>536</v>
      </c>
      <c r="D149" s="69" t="s">
        <v>225</v>
      </c>
      <c r="E149" s="85" t="s">
        <v>146</v>
      </c>
      <c r="F149" s="45" t="s">
        <v>1607</v>
      </c>
      <c r="G149" s="86" t="s">
        <v>1609</v>
      </c>
      <c r="H149" s="87" t="s">
        <v>622</v>
      </c>
      <c r="I149" s="88" t="s">
        <v>623</v>
      </c>
      <c r="J149" s="89"/>
    </row>
    <row r="150" spans="2:10" ht="72" customHeight="1" x14ac:dyDescent="0.35">
      <c r="B150" s="83" t="s">
        <v>624</v>
      </c>
      <c r="C150" s="84" t="s">
        <v>536</v>
      </c>
      <c r="D150" s="69" t="s">
        <v>327</v>
      </c>
      <c r="E150" s="85" t="s">
        <v>137</v>
      </c>
      <c r="F150" s="45" t="s">
        <v>1592</v>
      </c>
      <c r="G150" s="86" t="s">
        <v>1610</v>
      </c>
      <c r="H150" s="87" t="s">
        <v>625</v>
      </c>
      <c r="I150" s="88" t="s">
        <v>626</v>
      </c>
      <c r="J150" s="89"/>
    </row>
    <row r="151" spans="2:10" ht="72" customHeight="1" x14ac:dyDescent="0.35">
      <c r="B151" s="83" t="s">
        <v>627</v>
      </c>
      <c r="C151" s="84" t="s">
        <v>536</v>
      </c>
      <c r="D151" s="69" t="s">
        <v>327</v>
      </c>
      <c r="E151" s="85" t="s">
        <v>104</v>
      </c>
      <c r="F151" s="45" t="s">
        <v>1592</v>
      </c>
      <c r="G151" s="86" t="s">
        <v>430</v>
      </c>
      <c r="H151" s="87" t="s">
        <v>219</v>
      </c>
      <c r="I151" s="88" t="s">
        <v>321</v>
      </c>
      <c r="J151" s="89"/>
    </row>
    <row r="152" spans="2:10" ht="72" customHeight="1" x14ac:dyDescent="0.35">
      <c r="B152" s="83" t="s">
        <v>628</v>
      </c>
      <c r="C152" s="84" t="s">
        <v>536</v>
      </c>
      <c r="D152" s="69" t="s">
        <v>327</v>
      </c>
      <c r="E152" s="85" t="s">
        <v>146</v>
      </c>
      <c r="F152" s="45" t="s">
        <v>1592</v>
      </c>
      <c r="G152" s="86" t="s">
        <v>1611</v>
      </c>
      <c r="H152" s="87" t="s">
        <v>629</v>
      </c>
      <c r="I152" s="88" t="s">
        <v>630</v>
      </c>
      <c r="J152" s="89"/>
    </row>
    <row r="154" spans="2:10" ht="60" customHeight="1" x14ac:dyDescent="0.35">
      <c r="B154" s="150" t="s">
        <v>1713</v>
      </c>
      <c r="C154" s="150"/>
      <c r="D154" s="150"/>
      <c r="E154" s="150"/>
      <c r="F154" s="150"/>
      <c r="G154" s="150"/>
      <c r="H154" s="150"/>
      <c r="I154" s="150"/>
      <c r="J154" s="150"/>
    </row>
  </sheetData>
  <mergeCells count="3">
    <mergeCell ref="B2:J2"/>
    <mergeCell ref="B3:J3"/>
    <mergeCell ref="B154:J154"/>
  </mergeCells>
  <pageMargins left="0.75" right="0.75" top="1" bottom="1" header="0.511811023622047" footer="0.511811023622047"/>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7030A0"/>
  </sheetPr>
  <dimension ref="B2:J23"/>
  <sheetViews>
    <sheetView showGridLines="0" zoomScaleNormal="100" workbookViewId="0">
      <pane xSplit="1" ySplit="5" topLeftCell="B6" activePane="bottomRight" state="frozen"/>
      <selection pane="topRight" activeCell="B1" sqref="B1"/>
      <selection pane="bottomLeft" activeCell="A6" sqref="A6"/>
      <selection pane="bottomRight" activeCell="B3" sqref="B3:J3"/>
    </sheetView>
  </sheetViews>
  <sheetFormatPr defaultColWidth="8.6328125" defaultRowHeight="14.5" x14ac:dyDescent="0.35"/>
  <cols>
    <col min="1" max="1" width="2" style="3" customWidth="1"/>
    <col min="2" max="2" width="17" style="3" customWidth="1"/>
    <col min="3" max="3" width="21" style="3" customWidth="1"/>
    <col min="4" max="4" width="6" style="3" customWidth="1"/>
    <col min="5" max="5" width="13" style="3" customWidth="1"/>
    <col min="6" max="6" width="21" style="3" customWidth="1"/>
    <col min="7" max="7" width="40" style="3" customWidth="1"/>
    <col min="8" max="8" width="15" style="3" customWidth="1"/>
    <col min="9" max="10" width="46" style="3" customWidth="1"/>
    <col min="11" max="16384" width="8.6328125" style="3"/>
  </cols>
  <sheetData>
    <row r="2" spans="2:10" ht="25.5" customHeight="1" x14ac:dyDescent="0.35">
      <c r="B2" s="145" t="s">
        <v>1201</v>
      </c>
      <c r="C2" s="145"/>
      <c r="D2" s="145"/>
      <c r="E2" s="145"/>
      <c r="F2" s="145"/>
      <c r="G2" s="145"/>
      <c r="H2" s="145"/>
      <c r="I2" s="145"/>
      <c r="J2" s="145"/>
    </row>
    <row r="3" spans="2:10" ht="96" customHeight="1" x14ac:dyDescent="0.35">
      <c r="B3" s="152" t="s">
        <v>1612</v>
      </c>
      <c r="C3" s="152"/>
      <c r="D3" s="152"/>
      <c r="E3" s="152"/>
      <c r="F3" s="152"/>
      <c r="G3" s="152"/>
      <c r="H3" s="152"/>
      <c r="I3" s="152"/>
      <c r="J3" s="152"/>
    </row>
    <row r="5" spans="2:10" ht="31.5" customHeight="1" x14ac:dyDescent="0.35">
      <c r="B5" s="37" t="s">
        <v>631</v>
      </c>
      <c r="C5" s="37" t="s">
        <v>81</v>
      </c>
      <c r="D5" s="37" t="s">
        <v>110</v>
      </c>
      <c r="E5" s="37" t="s">
        <v>82</v>
      </c>
      <c r="F5" s="37" t="s">
        <v>83</v>
      </c>
      <c r="G5" s="37" t="s">
        <v>85</v>
      </c>
      <c r="H5" s="37" t="s">
        <v>86</v>
      </c>
      <c r="I5" s="37" t="s">
        <v>1202</v>
      </c>
      <c r="J5" s="37" t="s">
        <v>87</v>
      </c>
    </row>
    <row r="6" spans="2:10" ht="84" customHeight="1" x14ac:dyDescent="0.35">
      <c r="B6" s="90" t="s">
        <v>632</v>
      </c>
      <c r="C6" s="91" t="s">
        <v>136</v>
      </c>
      <c r="D6" s="92" t="s">
        <v>112</v>
      </c>
      <c r="E6" s="93" t="s">
        <v>137</v>
      </c>
      <c r="F6" s="68" t="s">
        <v>1366</v>
      </c>
      <c r="G6" s="70" t="s">
        <v>633</v>
      </c>
      <c r="H6" s="94" t="s">
        <v>1367</v>
      </c>
      <c r="I6" s="68" t="s">
        <v>1368</v>
      </c>
      <c r="J6" s="68" t="s">
        <v>1680</v>
      </c>
    </row>
    <row r="7" spans="2:10" ht="84" customHeight="1" x14ac:dyDescent="0.35">
      <c r="B7" s="90" t="s">
        <v>634</v>
      </c>
      <c r="C7" s="91" t="s">
        <v>136</v>
      </c>
      <c r="D7" s="92" t="s">
        <v>112</v>
      </c>
      <c r="E7" s="93" t="s">
        <v>104</v>
      </c>
      <c r="F7" s="68" t="s">
        <v>1369</v>
      </c>
      <c r="G7" s="70" t="s">
        <v>1671</v>
      </c>
      <c r="H7" s="94" t="s">
        <v>1370</v>
      </c>
      <c r="I7" s="68" t="s">
        <v>1371</v>
      </c>
      <c r="J7" s="68" t="s">
        <v>635</v>
      </c>
    </row>
    <row r="8" spans="2:10" ht="84" customHeight="1" x14ac:dyDescent="0.35">
      <c r="B8" s="90" t="s">
        <v>636</v>
      </c>
      <c r="C8" s="91" t="s">
        <v>136</v>
      </c>
      <c r="D8" s="92" t="s">
        <v>112</v>
      </c>
      <c r="E8" s="93" t="s">
        <v>146</v>
      </c>
      <c r="F8" s="68" t="s">
        <v>1372</v>
      </c>
      <c r="G8" s="70" t="s">
        <v>1672</v>
      </c>
      <c r="H8" s="94" t="s">
        <v>1373</v>
      </c>
      <c r="I8" s="68" t="s">
        <v>1681</v>
      </c>
      <c r="J8" s="68" t="s">
        <v>637</v>
      </c>
    </row>
    <row r="9" spans="2:10" ht="84" customHeight="1" x14ac:dyDescent="0.35">
      <c r="B9" s="95" t="s">
        <v>638</v>
      </c>
      <c r="C9" s="96" t="s">
        <v>236</v>
      </c>
      <c r="D9" s="97" t="s">
        <v>115</v>
      </c>
      <c r="E9" s="98" t="s">
        <v>137</v>
      </c>
      <c r="F9" s="99" t="s">
        <v>1366</v>
      </c>
      <c r="G9" s="70" t="s">
        <v>1673</v>
      </c>
      <c r="H9" s="94" t="s">
        <v>1374</v>
      </c>
      <c r="I9" s="99" t="s">
        <v>1458</v>
      </c>
      <c r="J9" s="99" t="s">
        <v>639</v>
      </c>
    </row>
    <row r="10" spans="2:10" ht="84" customHeight="1" x14ac:dyDescent="0.35">
      <c r="B10" s="95" t="s">
        <v>640</v>
      </c>
      <c r="C10" s="96" t="s">
        <v>236</v>
      </c>
      <c r="D10" s="97" t="s">
        <v>115</v>
      </c>
      <c r="E10" s="98" t="s">
        <v>104</v>
      </c>
      <c r="F10" s="99" t="s">
        <v>1369</v>
      </c>
      <c r="G10" s="70" t="s">
        <v>641</v>
      </c>
      <c r="H10" s="94" t="s">
        <v>1375</v>
      </c>
      <c r="I10" s="99" t="s">
        <v>1376</v>
      </c>
      <c r="J10" s="99" t="s">
        <v>642</v>
      </c>
    </row>
    <row r="11" spans="2:10" ht="84" customHeight="1" x14ac:dyDescent="0.35">
      <c r="B11" s="95" t="s">
        <v>643</v>
      </c>
      <c r="C11" s="96" t="s">
        <v>236</v>
      </c>
      <c r="D11" s="97" t="s">
        <v>115</v>
      </c>
      <c r="E11" s="98" t="s">
        <v>146</v>
      </c>
      <c r="F11" s="99" t="s">
        <v>1372</v>
      </c>
      <c r="G11" s="70" t="s">
        <v>644</v>
      </c>
      <c r="H11" s="94" t="s">
        <v>1373</v>
      </c>
      <c r="I11" s="99" t="s">
        <v>1377</v>
      </c>
      <c r="J11" s="99" t="s">
        <v>1678</v>
      </c>
    </row>
    <row r="12" spans="2:10" ht="84" customHeight="1" x14ac:dyDescent="0.35">
      <c r="B12" s="90" t="s">
        <v>645</v>
      </c>
      <c r="C12" s="91" t="s">
        <v>336</v>
      </c>
      <c r="D12" s="92" t="s">
        <v>118</v>
      </c>
      <c r="E12" s="93" t="s">
        <v>137</v>
      </c>
      <c r="F12" s="68" t="s">
        <v>1366</v>
      </c>
      <c r="G12" s="70" t="s">
        <v>646</v>
      </c>
      <c r="H12" s="94" t="s">
        <v>1378</v>
      </c>
      <c r="I12" s="68" t="s">
        <v>647</v>
      </c>
      <c r="J12" s="68" t="s">
        <v>648</v>
      </c>
    </row>
    <row r="13" spans="2:10" ht="84" customHeight="1" x14ac:dyDescent="0.35">
      <c r="B13" s="90" t="s">
        <v>649</v>
      </c>
      <c r="C13" s="91" t="s">
        <v>336</v>
      </c>
      <c r="D13" s="92" t="s">
        <v>118</v>
      </c>
      <c r="E13" s="93" t="s">
        <v>104</v>
      </c>
      <c r="F13" s="68" t="s">
        <v>1369</v>
      </c>
      <c r="G13" s="70" t="s">
        <v>650</v>
      </c>
      <c r="H13" s="94" t="s">
        <v>1375</v>
      </c>
      <c r="I13" s="68" t="s">
        <v>651</v>
      </c>
      <c r="J13" s="68" t="s">
        <v>1676</v>
      </c>
    </row>
    <row r="14" spans="2:10" ht="84" customHeight="1" x14ac:dyDescent="0.35">
      <c r="B14" s="90" t="s">
        <v>652</v>
      </c>
      <c r="C14" s="91" t="s">
        <v>336</v>
      </c>
      <c r="D14" s="92" t="s">
        <v>118</v>
      </c>
      <c r="E14" s="93" t="s">
        <v>146</v>
      </c>
      <c r="F14" s="68" t="s">
        <v>1372</v>
      </c>
      <c r="G14" s="70" t="s">
        <v>653</v>
      </c>
      <c r="H14" s="94" t="s">
        <v>1373</v>
      </c>
      <c r="I14" s="68" t="s">
        <v>1677</v>
      </c>
      <c r="J14" s="68" t="s">
        <v>654</v>
      </c>
    </row>
    <row r="15" spans="2:10" ht="84" customHeight="1" x14ac:dyDescent="0.35">
      <c r="B15" s="95" t="s">
        <v>655</v>
      </c>
      <c r="C15" s="96" t="s">
        <v>436</v>
      </c>
      <c r="D15" s="97" t="s">
        <v>121</v>
      </c>
      <c r="E15" s="98" t="s">
        <v>137</v>
      </c>
      <c r="F15" s="99" t="s">
        <v>1366</v>
      </c>
      <c r="G15" s="70" t="s">
        <v>1674</v>
      </c>
      <c r="H15" s="94" t="s">
        <v>1379</v>
      </c>
      <c r="I15" s="99" t="s">
        <v>656</v>
      </c>
      <c r="J15" s="99" t="s">
        <v>1203</v>
      </c>
    </row>
    <row r="16" spans="2:10" ht="84" customHeight="1" x14ac:dyDescent="0.35">
      <c r="B16" s="95" t="s">
        <v>657</v>
      </c>
      <c r="C16" s="96" t="s">
        <v>436</v>
      </c>
      <c r="D16" s="97" t="s">
        <v>121</v>
      </c>
      <c r="E16" s="98" t="s">
        <v>104</v>
      </c>
      <c r="F16" s="99" t="s">
        <v>1369</v>
      </c>
      <c r="G16" s="70" t="s">
        <v>1204</v>
      </c>
      <c r="H16" s="94" t="s">
        <v>1380</v>
      </c>
      <c r="I16" s="99" t="s">
        <v>1381</v>
      </c>
      <c r="J16" s="99" t="s">
        <v>1205</v>
      </c>
    </row>
    <row r="17" spans="2:10" ht="84" customHeight="1" x14ac:dyDescent="0.35">
      <c r="B17" s="95" t="s">
        <v>658</v>
      </c>
      <c r="C17" s="96" t="s">
        <v>436</v>
      </c>
      <c r="D17" s="97" t="s">
        <v>121</v>
      </c>
      <c r="E17" s="98" t="s">
        <v>146</v>
      </c>
      <c r="F17" s="99" t="s">
        <v>1372</v>
      </c>
      <c r="G17" s="70" t="s">
        <v>1675</v>
      </c>
      <c r="H17" s="94" t="s">
        <v>1382</v>
      </c>
      <c r="I17" s="99" t="s">
        <v>659</v>
      </c>
      <c r="J17" s="99" t="s">
        <v>1383</v>
      </c>
    </row>
    <row r="18" spans="2:10" ht="84" customHeight="1" x14ac:dyDescent="0.35">
      <c r="B18" s="90" t="s">
        <v>660</v>
      </c>
      <c r="C18" s="91" t="s">
        <v>536</v>
      </c>
      <c r="D18" s="92" t="s">
        <v>123</v>
      </c>
      <c r="E18" s="93" t="s">
        <v>137</v>
      </c>
      <c r="F18" s="68" t="s">
        <v>1384</v>
      </c>
      <c r="G18" s="70" t="s">
        <v>661</v>
      </c>
      <c r="H18" s="94" t="s">
        <v>1370</v>
      </c>
      <c r="I18" s="68" t="s">
        <v>1613</v>
      </c>
      <c r="J18" s="68" t="s">
        <v>662</v>
      </c>
    </row>
    <row r="19" spans="2:10" ht="84" customHeight="1" x14ac:dyDescent="0.35">
      <c r="B19" s="90" t="s">
        <v>663</v>
      </c>
      <c r="C19" s="91" t="s">
        <v>536</v>
      </c>
      <c r="D19" s="92" t="s">
        <v>123</v>
      </c>
      <c r="E19" s="93" t="s">
        <v>104</v>
      </c>
      <c r="F19" s="68" t="s">
        <v>1385</v>
      </c>
      <c r="G19" s="70" t="s">
        <v>653</v>
      </c>
      <c r="H19" s="94" t="s">
        <v>1386</v>
      </c>
      <c r="I19" s="68" t="s">
        <v>664</v>
      </c>
      <c r="J19" s="68" t="s">
        <v>665</v>
      </c>
    </row>
    <row r="20" spans="2:10" ht="84" customHeight="1" x14ac:dyDescent="0.35">
      <c r="B20" s="90" t="s">
        <v>666</v>
      </c>
      <c r="C20" s="91" t="s">
        <v>536</v>
      </c>
      <c r="D20" s="92" t="s">
        <v>123</v>
      </c>
      <c r="E20" s="93" t="s">
        <v>146</v>
      </c>
      <c r="F20" s="68" t="s">
        <v>1387</v>
      </c>
      <c r="G20" s="70" t="s">
        <v>667</v>
      </c>
      <c r="H20" s="94" t="s">
        <v>1388</v>
      </c>
      <c r="I20" s="68" t="s">
        <v>668</v>
      </c>
      <c r="J20" s="68" t="s">
        <v>669</v>
      </c>
    </row>
    <row r="22" spans="2:10" ht="57.75" customHeight="1" x14ac:dyDescent="0.35">
      <c r="B22" s="148" t="s">
        <v>1389</v>
      </c>
      <c r="C22" s="148"/>
      <c r="D22" s="148"/>
      <c r="E22" s="148"/>
      <c r="F22" s="148"/>
      <c r="G22" s="148"/>
      <c r="H22" s="148"/>
      <c r="I22" s="148"/>
      <c r="J22" s="148"/>
    </row>
    <row r="23" spans="2:10" ht="43.5" customHeight="1" x14ac:dyDescent="0.35">
      <c r="B23" s="148" t="s">
        <v>1679</v>
      </c>
      <c r="C23" s="148"/>
      <c r="D23" s="148"/>
      <c r="E23" s="148"/>
      <c r="F23" s="148"/>
      <c r="G23" s="148"/>
      <c r="H23" s="148"/>
      <c r="I23" s="148"/>
      <c r="J23" s="148"/>
    </row>
  </sheetData>
  <mergeCells count="4">
    <mergeCell ref="B2:J2"/>
    <mergeCell ref="B3:J3"/>
    <mergeCell ref="B22:J22"/>
    <mergeCell ref="B23:J23"/>
  </mergeCells>
  <pageMargins left="0.75" right="0.75" top="1" bottom="1" header="0.511811023622047" footer="0.511811023622047"/>
  <pageSetup paperSize="9" orientation="portrait" horizontalDpi="300" verticalDpi="300"/>
  <extLst>
    <ext xmlns:x14="http://schemas.microsoft.com/office/spreadsheetml/2009/9/main" uri="{78C0D931-6437-407d-A8EE-F0AAD7539E65}">
      <x14:conditionalFormattings>
        <x14:conditionalFormatting xmlns:xm="http://schemas.microsoft.com/office/excel/2006/main">
          <x14:cfRule type="expression" priority="2" id="{00000000-000E-0000-0900-000002000000}">
            <xm:f>$B6='3a. screen engine'!#REF!&amp;"|"&amp;'3a. screen engine'!#REF!</xm:f>
            <x14:dxf>
              <fill>
                <patternFill>
                  <bgColor rgb="FFFFF2CC"/>
                </patternFill>
              </fill>
            </x14:dxf>
          </x14:cfRule>
          <xm:sqref>B6:J20</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7030A0"/>
  </sheetPr>
  <dimension ref="B2:H63"/>
  <sheetViews>
    <sheetView showGridLines="0" zoomScale="65" zoomScaleNormal="100" workbookViewId="0">
      <pane xSplit="1" ySplit="16" topLeftCell="B17" activePane="bottomRight" state="frozen"/>
      <selection pane="topRight" activeCell="B1" sqref="B1"/>
      <selection pane="bottomLeft" activeCell="A17" sqref="A17"/>
      <selection pane="bottomRight" activeCell="B3" sqref="B3:H3"/>
    </sheetView>
  </sheetViews>
  <sheetFormatPr defaultColWidth="8.6328125" defaultRowHeight="14.5" x14ac:dyDescent="0.35"/>
  <cols>
    <col min="1" max="1" width="2" style="3" customWidth="1"/>
    <col min="2" max="2" width="22" style="3" customWidth="1"/>
    <col min="3" max="3" width="30" style="3" customWidth="1"/>
    <col min="4" max="4" width="22" style="3" customWidth="1"/>
    <col min="5" max="5" width="46" style="3" customWidth="1"/>
    <col min="6" max="6" width="30" style="3" customWidth="1"/>
    <col min="7" max="7" width="28" style="3" customWidth="1"/>
    <col min="8" max="8" width="34" style="3" customWidth="1"/>
    <col min="9" max="16384" width="8.6328125" style="3"/>
  </cols>
  <sheetData>
    <row r="2" spans="2:8" ht="25.5" customHeight="1" x14ac:dyDescent="0.35">
      <c r="B2" s="145" t="s">
        <v>1716</v>
      </c>
      <c r="C2" s="145"/>
      <c r="D2" s="145"/>
      <c r="E2" s="145"/>
      <c r="F2" s="145"/>
      <c r="G2" s="145"/>
      <c r="H2" s="145"/>
    </row>
    <row r="3" spans="2:8" ht="96" customHeight="1" x14ac:dyDescent="0.35">
      <c r="B3" s="152" t="s">
        <v>1717</v>
      </c>
      <c r="C3" s="152"/>
      <c r="D3" s="152"/>
      <c r="E3" s="152"/>
      <c r="F3" s="152"/>
      <c r="G3" s="152"/>
      <c r="H3" s="152"/>
    </row>
    <row r="5" spans="2:8" ht="19.5" customHeight="1" x14ac:dyDescent="0.35">
      <c r="B5" s="165" t="s">
        <v>1390</v>
      </c>
      <c r="C5" s="165"/>
      <c r="D5" s="165"/>
      <c r="E5" s="165"/>
      <c r="F5" s="165"/>
      <c r="G5" s="165"/>
      <c r="H5" s="165"/>
    </row>
    <row r="6" spans="2:8" ht="21.75" customHeight="1" x14ac:dyDescent="0.35">
      <c r="B6" s="71" t="s">
        <v>670</v>
      </c>
      <c r="C6" s="72" t="s">
        <v>113</v>
      </c>
      <c r="D6" s="71" t="s">
        <v>671</v>
      </c>
      <c r="E6" s="72" t="s">
        <v>104</v>
      </c>
      <c r="F6" s="71" t="s">
        <v>672</v>
      </c>
      <c r="G6" s="72" t="s">
        <v>673</v>
      </c>
    </row>
    <row r="7" spans="2:8" ht="15" customHeight="1" x14ac:dyDescent="0.35">
      <c r="B7" s="100" t="s">
        <v>674</v>
      </c>
      <c r="C7" s="59" t="str">
        <f>IF($C$6="Product Seller","01",IF($C$6="Access Provider","02",IF($C$6="Network Distributor","03",IF($C$6="Carbon Integrated","04","05"))))&amp;"|"&amp;$E$6&amp;"|"&amp;$G$6</f>
        <v>01|Growth Stage|GO</v>
      </c>
    </row>
    <row r="8" spans="2:8" ht="78" customHeight="1" x14ac:dyDescent="0.35">
      <c r="B8" s="58" t="s">
        <v>93</v>
      </c>
      <c r="C8" s="191" t="str">
        <f>IFERROR(INDEX($D$17:$D$61,MATCH($C$7,$B$17:$B$61,0)),"(Complete the selections above)")</f>
        <v>Diligence supports investment: the business fits its archetype and its stage.</v>
      </c>
      <c r="D8" s="191"/>
      <c r="E8" s="191"/>
      <c r="F8" s="191"/>
      <c r="G8" s="191"/>
      <c r="H8" s="191"/>
    </row>
    <row r="9" spans="2:8" ht="78" customHeight="1" x14ac:dyDescent="0.35">
      <c r="B9" s="58" t="s">
        <v>94</v>
      </c>
      <c r="C9" s="191" t="str">
        <f>IFERROR(INDEX($E$17:$E$61,MATCH($C$7,$B$17:$B$61,0)),"(Complete the selections above)")</f>
        <v>A GO at Growth Stage means paying customers make up more than 50% of revenue across markets. Units are contribution-positive, with a costed path to cover overheads. Warranty exposure is measured and reserved, and carbon is a surplus, not a lifeline. The archetype's classic failure modes are all under control.</v>
      </c>
      <c r="D9" s="191"/>
      <c r="E9" s="191"/>
      <c r="F9" s="191"/>
      <c r="G9" s="191"/>
      <c r="H9" s="191"/>
    </row>
    <row r="10" spans="2:8" ht="78" customHeight="1" x14ac:dyDescent="0.35">
      <c r="B10" s="58" t="s">
        <v>95</v>
      </c>
      <c r="C10" s="191" t="str">
        <f>IFERROR(INDEX($F$17:$F$61,MATCH($C$7,$B$17:$B$61,0)),"(Complete the selections above)")</f>
        <v>Strengthen terms rather than fix gaps: extend the paying-revenue evidence to a third market; keep the cost-down curve documented quarter by quarter; complete the migration of any credits to a CCP methodology; convert gender data collection into 2X qualification to widen the capital pool.</v>
      </c>
      <c r="D10" s="191"/>
      <c r="E10" s="191"/>
      <c r="F10" s="191"/>
      <c r="G10" s="191"/>
      <c r="H10" s="191"/>
    </row>
    <row r="11" spans="2:8" ht="78" customHeight="1" x14ac:dyDescent="0.35">
      <c r="B11" s="58" t="s">
        <v>1206</v>
      </c>
      <c r="C11" s="191" t="str">
        <f>IFERROR(INDEX($G$17:$G$61,MATCH($C$7,$B$17:$B$61,0)),"(Complete the selections above)")</f>
        <v>Per Tool 02: revolving working-capital debt plus growth equity or mezzanine (US$500K-US$5M); a first-loss guarantee on the working-capital facility improves pricing; specialist lenders (e.g., Spark+) are active in this range. Size the facility against the inventory cycle and, for fuel makers, feedstock seasonality.</v>
      </c>
      <c r="D11" s="191"/>
      <c r="E11" s="191"/>
      <c r="F11" s="191"/>
      <c r="G11" s="191"/>
      <c r="H11" s="191"/>
    </row>
    <row r="12" spans="2:8" ht="78" customHeight="1" x14ac:dyDescent="0.35">
      <c r="B12" s="58" t="s">
        <v>1207</v>
      </c>
      <c r="C12" s="191" t="str">
        <f>IFERROR(INDEX($H$17:$H$61,MATCH($C$7,$B$17:$B$61,0)),"(Complete the selections above)")</f>
        <v>Standard monitoring: paying-customer share, unit contribution, field-failure rate, and stock-credit aging quarterly. Re-run Tool 01B at Scale thresholds (Sheet B) before the next round to see what bankability will require.</v>
      </c>
      <c r="D12" s="191"/>
      <c r="E12" s="191"/>
      <c r="F12" s="191"/>
      <c r="G12" s="191"/>
      <c r="H12" s="191"/>
    </row>
    <row r="14" spans="2:8" ht="18" customHeight="1" x14ac:dyDescent="0.35">
      <c r="B14" s="165" t="s">
        <v>1391</v>
      </c>
      <c r="C14" s="165"/>
      <c r="D14" s="165"/>
      <c r="E14" s="165"/>
      <c r="F14" s="165"/>
      <c r="G14" s="165"/>
      <c r="H14" s="165"/>
    </row>
    <row r="16" spans="2:8" ht="30" customHeight="1" x14ac:dyDescent="0.35">
      <c r="B16" s="37" t="s">
        <v>675</v>
      </c>
      <c r="C16" s="37" t="s">
        <v>676</v>
      </c>
      <c r="D16" s="37" t="s">
        <v>93</v>
      </c>
      <c r="E16" s="37" t="s">
        <v>94</v>
      </c>
      <c r="F16" s="37" t="s">
        <v>95</v>
      </c>
      <c r="G16" s="37" t="s">
        <v>1208</v>
      </c>
      <c r="H16" s="37" t="s">
        <v>1209</v>
      </c>
    </row>
    <row r="17" spans="2:8" ht="150" customHeight="1" x14ac:dyDescent="0.35">
      <c r="B17" s="90" t="s">
        <v>677</v>
      </c>
      <c r="C17" s="91" t="s">
        <v>678</v>
      </c>
      <c r="D17" s="68" t="s">
        <v>679</v>
      </c>
      <c r="E17" s="68" t="s">
        <v>1504</v>
      </c>
      <c r="F17" s="68" t="s">
        <v>1459</v>
      </c>
      <c r="G17" s="68" t="s">
        <v>1392</v>
      </c>
      <c r="H17" s="68" t="s">
        <v>1460</v>
      </c>
    </row>
    <row r="18" spans="2:8" ht="150" customHeight="1" x14ac:dyDescent="0.35">
      <c r="B18" s="90" t="s">
        <v>680</v>
      </c>
      <c r="C18" s="91" t="s">
        <v>681</v>
      </c>
      <c r="D18" s="68" t="s">
        <v>682</v>
      </c>
      <c r="E18" s="68" t="s">
        <v>1718</v>
      </c>
      <c r="F18" s="68" t="s">
        <v>683</v>
      </c>
      <c r="G18" s="68" t="s">
        <v>684</v>
      </c>
      <c r="H18" s="68" t="s">
        <v>685</v>
      </c>
    </row>
    <row r="19" spans="2:8" ht="150" customHeight="1" x14ac:dyDescent="0.35">
      <c r="B19" s="90" t="s">
        <v>686</v>
      </c>
      <c r="C19" s="91" t="s">
        <v>687</v>
      </c>
      <c r="D19" s="68" t="s">
        <v>1489</v>
      </c>
      <c r="E19" s="68" t="s">
        <v>1505</v>
      </c>
      <c r="F19" s="68" t="s">
        <v>688</v>
      </c>
      <c r="G19" s="68" t="s">
        <v>1490</v>
      </c>
      <c r="H19" s="68" t="s">
        <v>1719</v>
      </c>
    </row>
    <row r="20" spans="2:8" ht="150" customHeight="1" x14ac:dyDescent="0.35">
      <c r="B20" s="90" t="s">
        <v>689</v>
      </c>
      <c r="C20" s="91" t="s">
        <v>690</v>
      </c>
      <c r="D20" s="68" t="s">
        <v>691</v>
      </c>
      <c r="E20" s="68" t="s">
        <v>1506</v>
      </c>
      <c r="F20" s="68" t="s">
        <v>692</v>
      </c>
      <c r="G20" s="68" t="s">
        <v>1393</v>
      </c>
      <c r="H20" s="68" t="s">
        <v>1614</v>
      </c>
    </row>
    <row r="21" spans="2:8" ht="150" customHeight="1" x14ac:dyDescent="0.35">
      <c r="B21" s="90" t="s">
        <v>693</v>
      </c>
      <c r="C21" s="91" t="s">
        <v>694</v>
      </c>
      <c r="D21" s="68" t="s">
        <v>1491</v>
      </c>
      <c r="E21" s="68" t="s">
        <v>1720</v>
      </c>
      <c r="F21" s="68" t="s">
        <v>695</v>
      </c>
      <c r="G21" s="68" t="s">
        <v>1722</v>
      </c>
      <c r="H21" s="68" t="s">
        <v>1721</v>
      </c>
    </row>
    <row r="22" spans="2:8" ht="150" customHeight="1" x14ac:dyDescent="0.35">
      <c r="B22" s="90" t="s">
        <v>696</v>
      </c>
      <c r="C22" s="91" t="s">
        <v>697</v>
      </c>
      <c r="D22" s="68" t="s">
        <v>1492</v>
      </c>
      <c r="E22" s="68" t="s">
        <v>1507</v>
      </c>
      <c r="F22" s="68" t="s">
        <v>698</v>
      </c>
      <c r="G22" s="68" t="s">
        <v>699</v>
      </c>
      <c r="H22" s="68" t="s">
        <v>700</v>
      </c>
    </row>
    <row r="23" spans="2:8" ht="150" customHeight="1" x14ac:dyDescent="0.35">
      <c r="B23" s="90" t="s">
        <v>701</v>
      </c>
      <c r="C23" s="91" t="s">
        <v>702</v>
      </c>
      <c r="D23" s="68" t="s">
        <v>703</v>
      </c>
      <c r="E23" s="68" t="s">
        <v>1508</v>
      </c>
      <c r="F23" s="68" t="s">
        <v>1394</v>
      </c>
      <c r="G23" s="68" t="s">
        <v>1395</v>
      </c>
      <c r="H23" s="68" t="s">
        <v>1396</v>
      </c>
    </row>
    <row r="24" spans="2:8" ht="150" customHeight="1" x14ac:dyDescent="0.35">
      <c r="B24" s="90" t="s">
        <v>704</v>
      </c>
      <c r="C24" s="91" t="s">
        <v>705</v>
      </c>
      <c r="D24" s="68" t="s">
        <v>706</v>
      </c>
      <c r="E24" s="68" t="s">
        <v>1509</v>
      </c>
      <c r="F24" s="68" t="s">
        <v>707</v>
      </c>
      <c r="G24" s="68" t="s">
        <v>708</v>
      </c>
      <c r="H24" s="68" t="s">
        <v>709</v>
      </c>
    </row>
    <row r="25" spans="2:8" ht="150" customHeight="1" x14ac:dyDescent="0.35">
      <c r="B25" s="90" t="s">
        <v>710</v>
      </c>
      <c r="C25" s="91" t="s">
        <v>711</v>
      </c>
      <c r="D25" s="68" t="s">
        <v>712</v>
      </c>
      <c r="E25" s="68" t="s">
        <v>1510</v>
      </c>
      <c r="F25" s="68" t="s">
        <v>1397</v>
      </c>
      <c r="G25" s="68" t="s">
        <v>713</v>
      </c>
      <c r="H25" s="68" t="s">
        <v>1493</v>
      </c>
    </row>
    <row r="26" spans="2:8" ht="150" customHeight="1" x14ac:dyDescent="0.35">
      <c r="B26" s="95" t="s">
        <v>714</v>
      </c>
      <c r="C26" s="96" t="s">
        <v>715</v>
      </c>
      <c r="D26" s="99" t="s">
        <v>716</v>
      </c>
      <c r="E26" s="99" t="s">
        <v>1615</v>
      </c>
      <c r="F26" s="99" t="s">
        <v>1723</v>
      </c>
      <c r="G26" s="99" t="s">
        <v>1398</v>
      </c>
      <c r="H26" s="99" t="s">
        <v>1549</v>
      </c>
    </row>
    <row r="27" spans="2:8" ht="150" customHeight="1" x14ac:dyDescent="0.35">
      <c r="B27" s="95" t="s">
        <v>717</v>
      </c>
      <c r="C27" s="96" t="s">
        <v>718</v>
      </c>
      <c r="D27" s="99" t="s">
        <v>719</v>
      </c>
      <c r="E27" s="99" t="s">
        <v>1511</v>
      </c>
      <c r="F27" s="99" t="s">
        <v>1472</v>
      </c>
      <c r="G27" s="99" t="s">
        <v>1760</v>
      </c>
      <c r="H27" s="99" t="s">
        <v>720</v>
      </c>
    </row>
    <row r="28" spans="2:8" ht="150" customHeight="1" x14ac:dyDescent="0.35">
      <c r="B28" s="95" t="s">
        <v>721</v>
      </c>
      <c r="C28" s="96" t="s">
        <v>722</v>
      </c>
      <c r="D28" s="99" t="s">
        <v>1399</v>
      </c>
      <c r="E28" s="99" t="s">
        <v>1512</v>
      </c>
      <c r="F28" s="99" t="s">
        <v>1616</v>
      </c>
      <c r="G28" s="99" t="s">
        <v>723</v>
      </c>
      <c r="H28" s="99" t="s">
        <v>1724</v>
      </c>
    </row>
    <row r="29" spans="2:8" ht="150" customHeight="1" x14ac:dyDescent="0.35">
      <c r="B29" s="95" t="s">
        <v>724</v>
      </c>
      <c r="C29" s="96" t="s">
        <v>725</v>
      </c>
      <c r="D29" s="99" t="s">
        <v>1617</v>
      </c>
      <c r="E29" s="99" t="s">
        <v>1513</v>
      </c>
      <c r="F29" s="99" t="s">
        <v>1400</v>
      </c>
      <c r="G29" s="99" t="s">
        <v>1401</v>
      </c>
      <c r="H29" s="99" t="s">
        <v>1402</v>
      </c>
    </row>
    <row r="30" spans="2:8" ht="150" customHeight="1" x14ac:dyDescent="0.35">
      <c r="B30" s="95" t="s">
        <v>726</v>
      </c>
      <c r="C30" s="96" t="s">
        <v>727</v>
      </c>
      <c r="D30" s="99" t="s">
        <v>1494</v>
      </c>
      <c r="E30" s="99" t="s">
        <v>1514</v>
      </c>
      <c r="F30" s="99" t="s">
        <v>1726</v>
      </c>
      <c r="G30" s="99" t="s">
        <v>728</v>
      </c>
      <c r="H30" s="99" t="s">
        <v>729</v>
      </c>
    </row>
    <row r="31" spans="2:8" ht="150" customHeight="1" x14ac:dyDescent="0.35">
      <c r="B31" s="95" t="s">
        <v>730</v>
      </c>
      <c r="C31" s="96" t="s">
        <v>731</v>
      </c>
      <c r="D31" s="99" t="s">
        <v>732</v>
      </c>
      <c r="E31" s="99" t="s">
        <v>1515</v>
      </c>
      <c r="F31" s="99" t="s">
        <v>1403</v>
      </c>
      <c r="G31" s="99" t="s">
        <v>1404</v>
      </c>
      <c r="H31" s="99" t="s">
        <v>733</v>
      </c>
    </row>
    <row r="32" spans="2:8" ht="150" customHeight="1" x14ac:dyDescent="0.35">
      <c r="B32" s="95" t="s">
        <v>734</v>
      </c>
      <c r="C32" s="96" t="s">
        <v>735</v>
      </c>
      <c r="D32" s="99" t="s">
        <v>736</v>
      </c>
      <c r="E32" s="99" t="s">
        <v>1516</v>
      </c>
      <c r="F32" s="99" t="s">
        <v>1405</v>
      </c>
      <c r="G32" s="99" t="s">
        <v>1461</v>
      </c>
      <c r="H32" s="99" t="s">
        <v>1406</v>
      </c>
    </row>
    <row r="33" spans="2:8" ht="150" customHeight="1" x14ac:dyDescent="0.35">
      <c r="B33" s="95" t="s">
        <v>737</v>
      </c>
      <c r="C33" s="96" t="s">
        <v>738</v>
      </c>
      <c r="D33" s="99" t="s">
        <v>739</v>
      </c>
      <c r="E33" s="99" t="s">
        <v>1517</v>
      </c>
      <c r="F33" s="99" t="s">
        <v>740</v>
      </c>
      <c r="G33" s="99" t="s">
        <v>1407</v>
      </c>
      <c r="H33" s="99" t="s">
        <v>741</v>
      </c>
    </row>
    <row r="34" spans="2:8" ht="150" customHeight="1" x14ac:dyDescent="0.35">
      <c r="B34" s="95" t="s">
        <v>742</v>
      </c>
      <c r="C34" s="96" t="s">
        <v>743</v>
      </c>
      <c r="D34" s="99" t="s">
        <v>744</v>
      </c>
      <c r="E34" s="99" t="s">
        <v>1518</v>
      </c>
      <c r="F34" s="99" t="s">
        <v>745</v>
      </c>
      <c r="G34" s="99" t="s">
        <v>746</v>
      </c>
      <c r="H34" s="99" t="s">
        <v>747</v>
      </c>
    </row>
    <row r="35" spans="2:8" ht="150" customHeight="1" x14ac:dyDescent="0.35">
      <c r="B35" s="90" t="s">
        <v>748</v>
      </c>
      <c r="C35" s="91" t="s">
        <v>749</v>
      </c>
      <c r="D35" s="68" t="s">
        <v>750</v>
      </c>
      <c r="E35" s="68" t="s">
        <v>1519</v>
      </c>
      <c r="F35" s="68" t="s">
        <v>751</v>
      </c>
      <c r="G35" s="68" t="s">
        <v>1725</v>
      </c>
      <c r="H35" s="68" t="s">
        <v>1545</v>
      </c>
    </row>
    <row r="36" spans="2:8" ht="150" customHeight="1" x14ac:dyDescent="0.35">
      <c r="B36" s="90" t="s">
        <v>752</v>
      </c>
      <c r="C36" s="91" t="s">
        <v>753</v>
      </c>
      <c r="D36" s="68" t="s">
        <v>754</v>
      </c>
      <c r="E36" s="68" t="s">
        <v>1520</v>
      </c>
      <c r="F36" s="68" t="s">
        <v>755</v>
      </c>
      <c r="G36" s="68" t="s">
        <v>756</v>
      </c>
      <c r="H36" s="68" t="s">
        <v>757</v>
      </c>
    </row>
    <row r="37" spans="2:8" ht="150" customHeight="1" x14ac:dyDescent="0.35">
      <c r="B37" s="90" t="s">
        <v>758</v>
      </c>
      <c r="C37" s="91" t="s">
        <v>759</v>
      </c>
      <c r="D37" s="68" t="s">
        <v>760</v>
      </c>
      <c r="E37" s="68" t="s">
        <v>1521</v>
      </c>
      <c r="F37" s="68" t="s">
        <v>1618</v>
      </c>
      <c r="G37" s="68" t="s">
        <v>761</v>
      </c>
      <c r="H37" s="68" t="s">
        <v>762</v>
      </c>
    </row>
    <row r="38" spans="2:8" ht="150" customHeight="1" x14ac:dyDescent="0.35">
      <c r="B38" s="90" t="s">
        <v>763</v>
      </c>
      <c r="C38" s="91" t="s">
        <v>764</v>
      </c>
      <c r="D38" s="68" t="s">
        <v>1619</v>
      </c>
      <c r="E38" s="68" t="s">
        <v>1522</v>
      </c>
      <c r="F38" s="68" t="s">
        <v>765</v>
      </c>
      <c r="G38" s="68" t="s">
        <v>1408</v>
      </c>
      <c r="H38" s="68" t="s">
        <v>766</v>
      </c>
    </row>
    <row r="39" spans="2:8" ht="150" customHeight="1" x14ac:dyDescent="0.35">
      <c r="B39" s="90" t="s">
        <v>767</v>
      </c>
      <c r="C39" s="91" t="s">
        <v>768</v>
      </c>
      <c r="D39" s="68" t="s">
        <v>1620</v>
      </c>
      <c r="E39" s="68" t="s">
        <v>1523</v>
      </c>
      <c r="F39" s="68" t="s">
        <v>1495</v>
      </c>
      <c r="G39" s="68" t="s">
        <v>1496</v>
      </c>
      <c r="H39" s="68" t="s">
        <v>1727</v>
      </c>
    </row>
    <row r="40" spans="2:8" ht="150" customHeight="1" x14ac:dyDescent="0.35">
      <c r="B40" s="90" t="s">
        <v>769</v>
      </c>
      <c r="C40" s="91" t="s">
        <v>770</v>
      </c>
      <c r="D40" s="68" t="s">
        <v>771</v>
      </c>
      <c r="E40" s="68" t="s">
        <v>1524</v>
      </c>
      <c r="F40" s="68" t="s">
        <v>1409</v>
      </c>
      <c r="G40" s="68" t="s">
        <v>772</v>
      </c>
      <c r="H40" s="68" t="s">
        <v>773</v>
      </c>
    </row>
    <row r="41" spans="2:8" ht="150" customHeight="1" x14ac:dyDescent="0.35">
      <c r="B41" s="90" t="s">
        <v>774</v>
      </c>
      <c r="C41" s="91" t="s">
        <v>775</v>
      </c>
      <c r="D41" s="68" t="s">
        <v>1621</v>
      </c>
      <c r="E41" s="68" t="s">
        <v>1525</v>
      </c>
      <c r="F41" s="68" t="s">
        <v>1410</v>
      </c>
      <c r="G41" s="68" t="s">
        <v>1411</v>
      </c>
      <c r="H41" s="68" t="s">
        <v>776</v>
      </c>
    </row>
    <row r="42" spans="2:8" ht="150" customHeight="1" x14ac:dyDescent="0.35">
      <c r="B42" s="90" t="s">
        <v>777</v>
      </c>
      <c r="C42" s="91" t="s">
        <v>778</v>
      </c>
      <c r="D42" s="68" t="s">
        <v>779</v>
      </c>
      <c r="E42" s="68" t="s">
        <v>1526</v>
      </c>
      <c r="F42" s="68" t="s">
        <v>1412</v>
      </c>
      <c r="G42" s="68" t="s">
        <v>1728</v>
      </c>
      <c r="H42" s="68" t="s">
        <v>780</v>
      </c>
    </row>
    <row r="43" spans="2:8" ht="150" customHeight="1" x14ac:dyDescent="0.35">
      <c r="B43" s="90" t="s">
        <v>781</v>
      </c>
      <c r="C43" s="91" t="s">
        <v>782</v>
      </c>
      <c r="D43" s="68" t="s">
        <v>783</v>
      </c>
      <c r="E43" s="68" t="s">
        <v>1527</v>
      </c>
      <c r="F43" s="68" t="s">
        <v>1546</v>
      </c>
      <c r="G43" s="68" t="s">
        <v>784</v>
      </c>
      <c r="H43" s="68" t="s">
        <v>1462</v>
      </c>
    </row>
    <row r="44" spans="2:8" ht="150" customHeight="1" x14ac:dyDescent="0.35">
      <c r="B44" s="95" t="s">
        <v>785</v>
      </c>
      <c r="C44" s="96" t="s">
        <v>786</v>
      </c>
      <c r="D44" s="99" t="s">
        <v>787</v>
      </c>
      <c r="E44" s="99" t="s">
        <v>1528</v>
      </c>
      <c r="F44" s="99" t="s">
        <v>788</v>
      </c>
      <c r="G44" s="99" t="s">
        <v>1729</v>
      </c>
      <c r="H44" s="99" t="s">
        <v>1463</v>
      </c>
    </row>
    <row r="45" spans="2:8" ht="150" customHeight="1" x14ac:dyDescent="0.35">
      <c r="B45" s="95" t="s">
        <v>789</v>
      </c>
      <c r="C45" s="96" t="s">
        <v>790</v>
      </c>
      <c r="D45" s="99" t="s">
        <v>791</v>
      </c>
      <c r="E45" s="99" t="s">
        <v>1529</v>
      </c>
      <c r="F45" s="99" t="s">
        <v>1413</v>
      </c>
      <c r="G45" s="99" t="s">
        <v>1414</v>
      </c>
      <c r="H45" s="99" t="s">
        <v>792</v>
      </c>
    </row>
    <row r="46" spans="2:8" ht="150" customHeight="1" x14ac:dyDescent="0.35">
      <c r="B46" s="95" t="s">
        <v>793</v>
      </c>
      <c r="C46" s="96" t="s">
        <v>794</v>
      </c>
      <c r="D46" s="99" t="s">
        <v>1502</v>
      </c>
      <c r="E46" s="99" t="s">
        <v>1530</v>
      </c>
      <c r="F46" s="99" t="s">
        <v>795</v>
      </c>
      <c r="G46" s="99" t="s">
        <v>796</v>
      </c>
      <c r="H46" s="99" t="s">
        <v>797</v>
      </c>
    </row>
    <row r="47" spans="2:8" ht="150" customHeight="1" x14ac:dyDescent="0.35">
      <c r="B47" s="95" t="s">
        <v>798</v>
      </c>
      <c r="C47" s="96" t="s">
        <v>799</v>
      </c>
      <c r="D47" s="99" t="s">
        <v>1622</v>
      </c>
      <c r="E47" s="99" t="s">
        <v>1531</v>
      </c>
      <c r="F47" s="99" t="s">
        <v>1503</v>
      </c>
      <c r="G47" s="99" t="s">
        <v>1415</v>
      </c>
      <c r="H47" s="99" t="s">
        <v>1416</v>
      </c>
    </row>
    <row r="48" spans="2:8" ht="150" customHeight="1" x14ac:dyDescent="0.35">
      <c r="B48" s="95" t="s">
        <v>800</v>
      </c>
      <c r="C48" s="96" t="s">
        <v>801</v>
      </c>
      <c r="D48" s="99" t="s">
        <v>1623</v>
      </c>
      <c r="E48" s="99" t="s">
        <v>1532</v>
      </c>
      <c r="F48" s="99" t="s">
        <v>1417</v>
      </c>
      <c r="G48" s="99" t="s">
        <v>802</v>
      </c>
      <c r="H48" s="99" t="s">
        <v>803</v>
      </c>
    </row>
    <row r="49" spans="2:8" ht="150" customHeight="1" x14ac:dyDescent="0.35">
      <c r="B49" s="95" t="s">
        <v>804</v>
      </c>
      <c r="C49" s="96" t="s">
        <v>805</v>
      </c>
      <c r="D49" s="99" t="s">
        <v>1210</v>
      </c>
      <c r="E49" s="99" t="s">
        <v>1533</v>
      </c>
      <c r="F49" s="99" t="s">
        <v>806</v>
      </c>
      <c r="G49" s="99" t="s">
        <v>1418</v>
      </c>
      <c r="H49" s="99" t="s">
        <v>1624</v>
      </c>
    </row>
    <row r="50" spans="2:8" ht="150" customHeight="1" x14ac:dyDescent="0.35">
      <c r="B50" s="95" t="s">
        <v>807</v>
      </c>
      <c r="C50" s="96" t="s">
        <v>808</v>
      </c>
      <c r="D50" s="99" t="s">
        <v>809</v>
      </c>
      <c r="E50" s="99" t="s">
        <v>1534</v>
      </c>
      <c r="F50" s="99" t="s">
        <v>1419</v>
      </c>
      <c r="G50" s="99" t="s">
        <v>1625</v>
      </c>
      <c r="H50" s="99" t="s">
        <v>1730</v>
      </c>
    </row>
    <row r="51" spans="2:8" ht="150" customHeight="1" x14ac:dyDescent="0.35">
      <c r="B51" s="95" t="s">
        <v>810</v>
      </c>
      <c r="C51" s="96" t="s">
        <v>811</v>
      </c>
      <c r="D51" s="99" t="s">
        <v>812</v>
      </c>
      <c r="E51" s="99" t="s">
        <v>1535</v>
      </c>
      <c r="F51" s="99" t="s">
        <v>1420</v>
      </c>
      <c r="G51" s="99" t="s">
        <v>813</v>
      </c>
      <c r="H51" s="99" t="s">
        <v>814</v>
      </c>
    </row>
    <row r="52" spans="2:8" ht="150" customHeight="1" x14ac:dyDescent="0.35">
      <c r="B52" s="95" t="s">
        <v>815</v>
      </c>
      <c r="C52" s="96" t="s">
        <v>816</v>
      </c>
      <c r="D52" s="99" t="s">
        <v>1731</v>
      </c>
      <c r="E52" s="99" t="s">
        <v>1536</v>
      </c>
      <c r="F52" s="99" t="s">
        <v>817</v>
      </c>
      <c r="G52" s="99" t="s">
        <v>818</v>
      </c>
      <c r="H52" s="99" t="s">
        <v>1732</v>
      </c>
    </row>
    <row r="53" spans="2:8" ht="150" customHeight="1" x14ac:dyDescent="0.35">
      <c r="B53" s="90" t="s">
        <v>819</v>
      </c>
      <c r="C53" s="91" t="s">
        <v>820</v>
      </c>
      <c r="D53" s="68" t="s">
        <v>1626</v>
      </c>
      <c r="E53" s="68" t="s">
        <v>1537</v>
      </c>
      <c r="F53" s="68" t="s">
        <v>821</v>
      </c>
      <c r="G53" s="68" t="s">
        <v>1733</v>
      </c>
      <c r="H53" s="68" t="s">
        <v>1550</v>
      </c>
    </row>
    <row r="54" spans="2:8" ht="150" customHeight="1" x14ac:dyDescent="0.35">
      <c r="B54" s="90" t="s">
        <v>822</v>
      </c>
      <c r="C54" s="91" t="s">
        <v>823</v>
      </c>
      <c r="D54" s="68" t="s">
        <v>824</v>
      </c>
      <c r="E54" s="68" t="s">
        <v>1538</v>
      </c>
      <c r="F54" s="68" t="s">
        <v>1734</v>
      </c>
      <c r="G54" s="68" t="s">
        <v>825</v>
      </c>
      <c r="H54" s="68" t="s">
        <v>826</v>
      </c>
    </row>
    <row r="55" spans="2:8" ht="150" customHeight="1" x14ac:dyDescent="0.35">
      <c r="B55" s="90" t="s">
        <v>827</v>
      </c>
      <c r="C55" s="91" t="s">
        <v>828</v>
      </c>
      <c r="D55" s="68" t="s">
        <v>829</v>
      </c>
      <c r="E55" s="68" t="s">
        <v>1627</v>
      </c>
      <c r="F55" s="68" t="s">
        <v>830</v>
      </c>
      <c r="G55" s="68" t="s">
        <v>831</v>
      </c>
      <c r="H55" s="68" t="s">
        <v>832</v>
      </c>
    </row>
    <row r="56" spans="2:8" ht="150" customHeight="1" x14ac:dyDescent="0.35">
      <c r="B56" s="90" t="s">
        <v>833</v>
      </c>
      <c r="C56" s="91" t="s">
        <v>834</v>
      </c>
      <c r="D56" s="68" t="s">
        <v>1628</v>
      </c>
      <c r="E56" s="68" t="s">
        <v>1539</v>
      </c>
      <c r="F56" s="68" t="s">
        <v>1761</v>
      </c>
      <c r="G56" s="68" t="s">
        <v>1762</v>
      </c>
      <c r="H56" s="68" t="s">
        <v>835</v>
      </c>
    </row>
    <row r="57" spans="2:8" ht="150" customHeight="1" x14ac:dyDescent="0.35">
      <c r="B57" s="90" t="s">
        <v>836</v>
      </c>
      <c r="C57" s="91" t="s">
        <v>837</v>
      </c>
      <c r="D57" s="68" t="s">
        <v>1629</v>
      </c>
      <c r="E57" s="68" t="s">
        <v>1540</v>
      </c>
      <c r="F57" s="68" t="s">
        <v>838</v>
      </c>
      <c r="G57" s="68" t="s">
        <v>839</v>
      </c>
      <c r="H57" s="68" t="s">
        <v>840</v>
      </c>
    </row>
    <row r="58" spans="2:8" ht="150" customHeight="1" x14ac:dyDescent="0.35">
      <c r="B58" s="90" t="s">
        <v>841</v>
      </c>
      <c r="C58" s="91" t="s">
        <v>842</v>
      </c>
      <c r="D58" s="68" t="s">
        <v>843</v>
      </c>
      <c r="E58" s="68" t="s">
        <v>1541</v>
      </c>
      <c r="F58" s="68" t="s">
        <v>1763</v>
      </c>
      <c r="G58" s="68" t="s">
        <v>844</v>
      </c>
      <c r="H58" s="68" t="s">
        <v>1630</v>
      </c>
    </row>
    <row r="59" spans="2:8" ht="150" customHeight="1" x14ac:dyDescent="0.35">
      <c r="B59" s="90" t="s">
        <v>845</v>
      </c>
      <c r="C59" s="91" t="s">
        <v>846</v>
      </c>
      <c r="D59" s="68" t="s">
        <v>1631</v>
      </c>
      <c r="E59" s="68" t="s">
        <v>1542</v>
      </c>
      <c r="F59" s="68" t="s">
        <v>1421</v>
      </c>
      <c r="G59" s="68" t="s">
        <v>1632</v>
      </c>
      <c r="H59" s="68" t="s">
        <v>847</v>
      </c>
    </row>
    <row r="60" spans="2:8" ht="150" customHeight="1" x14ac:dyDescent="0.35">
      <c r="B60" s="90" t="s">
        <v>848</v>
      </c>
      <c r="C60" s="91" t="s">
        <v>849</v>
      </c>
      <c r="D60" s="68" t="s">
        <v>1735</v>
      </c>
      <c r="E60" s="68" t="s">
        <v>1543</v>
      </c>
      <c r="F60" s="68" t="s">
        <v>1736</v>
      </c>
      <c r="G60" s="68" t="s">
        <v>850</v>
      </c>
      <c r="H60" s="68" t="s">
        <v>851</v>
      </c>
    </row>
    <row r="61" spans="2:8" ht="150" customHeight="1" x14ac:dyDescent="0.35">
      <c r="B61" s="90" t="s">
        <v>852</v>
      </c>
      <c r="C61" s="91" t="s">
        <v>853</v>
      </c>
      <c r="D61" s="68" t="s">
        <v>1211</v>
      </c>
      <c r="E61" s="68" t="s">
        <v>1544</v>
      </c>
      <c r="F61" s="68" t="s">
        <v>1737</v>
      </c>
      <c r="G61" s="68" t="s">
        <v>854</v>
      </c>
      <c r="H61" s="68" t="s">
        <v>1738</v>
      </c>
    </row>
    <row r="63" spans="2:8" ht="57.75" customHeight="1" x14ac:dyDescent="0.35">
      <c r="B63" s="148" t="s">
        <v>1633</v>
      </c>
      <c r="C63" s="148"/>
      <c r="D63" s="148"/>
      <c r="E63" s="148"/>
      <c r="F63" s="148"/>
      <c r="G63" s="148"/>
      <c r="H63" s="148"/>
    </row>
  </sheetData>
  <mergeCells count="10">
    <mergeCell ref="B2:H2"/>
    <mergeCell ref="B3:H3"/>
    <mergeCell ref="B5:H5"/>
    <mergeCell ref="C8:H8"/>
    <mergeCell ref="C9:H9"/>
    <mergeCell ref="C10:H10"/>
    <mergeCell ref="C11:H11"/>
    <mergeCell ref="C12:H12"/>
    <mergeCell ref="B14:H14"/>
    <mergeCell ref="B63:H63"/>
  </mergeCells>
  <dataValidations count="3">
    <dataValidation type="list" sqref="C6" xr:uid="{00000000-0002-0000-0A00-000000000000}">
      <formula1>"Product Seller,Access Provider,Network Distributor,Carbon Integrated,Infrastructure Utility"</formula1>
      <formula2>0</formula2>
    </dataValidation>
    <dataValidation type="list" sqref="E6" xr:uid="{00000000-0002-0000-0A00-000001000000}">
      <formula1>"Early Stage,Growth Stage,Scale"</formula1>
      <formula2>0</formula2>
    </dataValidation>
    <dataValidation type="list" sqref="G6" xr:uid="{00000000-0002-0000-0A00-000002000000}">
      <formula1>"GO,HOLD &amp; STRUCTURE,NO-GO PENDING RESOLUTION"</formula1>
      <formula2>0</formula2>
    </dataValidation>
  </dataValidations>
  <pageMargins left="0.75" right="0.75" top="1" bottom="1" header="0.511811023622047" footer="0.511811023622047"/>
  <pageSetup paperSize="9" orientation="portrait" horizontalDpi="300" verticalDpi="300"/>
  <extLst>
    <ext xmlns:x14="http://schemas.microsoft.com/office/spreadsheetml/2009/9/main" uri="{78C0D931-6437-407d-A8EE-F0AAD7539E65}">
      <x14:conditionalFormattings>
        <x14:conditionalFormatting xmlns:xm="http://schemas.microsoft.com/office/excel/2006/main">
          <x14:cfRule type="expression" priority="2" id="{00000000-000E-0000-0A00-000002000000}">
            <xm:f>$B17='6. Tool 03 Enterprise Feedback'!$C$10</xm:f>
            <x14:dxf>
              <fill>
                <patternFill>
                  <bgColor rgb="FFFFF2CC"/>
                </patternFill>
              </fill>
            </x14:dxf>
          </x14:cfRule>
          <xm:sqref>B17:H61</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7030A0"/>
  </sheetPr>
  <dimension ref="B2:E34"/>
  <sheetViews>
    <sheetView showGridLines="0" zoomScale="56" zoomScaleNormal="80" workbookViewId="0">
      <selection activeCell="B3" sqref="B3:E3"/>
    </sheetView>
  </sheetViews>
  <sheetFormatPr defaultColWidth="8.453125" defaultRowHeight="14.5" x14ac:dyDescent="0.35"/>
  <cols>
    <col min="1" max="1" width="2" style="3" customWidth="1"/>
    <col min="2" max="2" width="22" style="3" customWidth="1"/>
    <col min="3" max="3" width="48" style="3" customWidth="1"/>
    <col min="4" max="4" width="44" style="3" customWidth="1"/>
    <col min="5" max="5" width="50" style="3" customWidth="1"/>
    <col min="6" max="16384" width="8.453125" style="3"/>
  </cols>
  <sheetData>
    <row r="2" spans="2:5" ht="25.5" customHeight="1" x14ac:dyDescent="0.35">
      <c r="B2" s="145" t="s">
        <v>1212</v>
      </c>
      <c r="C2" s="145"/>
      <c r="D2" s="145"/>
      <c r="E2" s="145"/>
    </row>
    <row r="3" spans="2:5" ht="48" customHeight="1" x14ac:dyDescent="0.35">
      <c r="B3" s="200" t="s">
        <v>1464</v>
      </c>
      <c r="C3" s="200"/>
      <c r="D3" s="200"/>
      <c r="E3" s="200"/>
    </row>
    <row r="5" spans="2:5" ht="15" customHeight="1" x14ac:dyDescent="0.35">
      <c r="B5" s="196" t="s">
        <v>1213</v>
      </c>
      <c r="C5" s="196"/>
      <c r="D5" s="196"/>
      <c r="E5" s="196"/>
    </row>
    <row r="6" spans="2:5" ht="19.5" customHeight="1" x14ac:dyDescent="0.35">
      <c r="B6" s="9" t="s">
        <v>81</v>
      </c>
      <c r="C6" s="9" t="s">
        <v>855</v>
      </c>
      <c r="D6" s="9" t="s">
        <v>856</v>
      </c>
      <c r="E6" s="9" t="s">
        <v>857</v>
      </c>
    </row>
    <row r="7" spans="2:5" ht="51.75" customHeight="1" x14ac:dyDescent="0.35">
      <c r="B7" s="101" t="s">
        <v>113</v>
      </c>
      <c r="C7" s="45" t="s">
        <v>1634</v>
      </c>
      <c r="D7" s="45" t="s">
        <v>858</v>
      </c>
      <c r="E7" s="45" t="s">
        <v>1739</v>
      </c>
    </row>
    <row r="8" spans="2:5" ht="51.75" customHeight="1" x14ac:dyDescent="0.35">
      <c r="B8" s="101" t="s">
        <v>116</v>
      </c>
      <c r="C8" s="45" t="s">
        <v>1740</v>
      </c>
      <c r="D8" s="45" t="s">
        <v>1635</v>
      </c>
      <c r="E8" s="45" t="s">
        <v>1465</v>
      </c>
    </row>
    <row r="9" spans="2:5" ht="51.75" customHeight="1" x14ac:dyDescent="0.35">
      <c r="B9" s="101" t="s">
        <v>119</v>
      </c>
      <c r="C9" s="45" t="s">
        <v>859</v>
      </c>
      <c r="D9" s="45" t="s">
        <v>860</v>
      </c>
      <c r="E9" s="45" t="s">
        <v>861</v>
      </c>
    </row>
    <row r="10" spans="2:5" ht="51.75" customHeight="1" x14ac:dyDescent="0.35">
      <c r="B10" s="101" t="s">
        <v>1214</v>
      </c>
      <c r="C10" s="45" t="s">
        <v>1636</v>
      </c>
      <c r="D10" s="45" t="s">
        <v>1741</v>
      </c>
      <c r="E10" s="45" t="s">
        <v>1215</v>
      </c>
    </row>
    <row r="11" spans="2:5" ht="51.75" customHeight="1" x14ac:dyDescent="0.35">
      <c r="B11" s="101" t="s">
        <v>124</v>
      </c>
      <c r="C11" s="45" t="s">
        <v>862</v>
      </c>
      <c r="D11" s="45" t="s">
        <v>1637</v>
      </c>
      <c r="E11" s="45" t="s">
        <v>1216</v>
      </c>
    </row>
    <row r="13" spans="2:5" ht="15" customHeight="1" x14ac:dyDescent="0.35">
      <c r="B13" s="201" t="s">
        <v>1217</v>
      </c>
      <c r="C13" s="201"/>
      <c r="D13" s="201"/>
      <c r="E13" s="201"/>
    </row>
    <row r="14" spans="2:5" ht="39.75" customHeight="1" x14ac:dyDescent="0.35">
      <c r="B14" s="202" t="s">
        <v>1218</v>
      </c>
      <c r="C14" s="202"/>
      <c r="D14" s="202"/>
      <c r="E14" s="202"/>
    </row>
    <row r="15" spans="2:5" ht="15" customHeight="1" x14ac:dyDescent="0.35">
      <c r="B15" s="102" t="s">
        <v>863</v>
      </c>
      <c r="C15" s="198" t="s">
        <v>864</v>
      </c>
      <c r="D15" s="198"/>
      <c r="E15" s="102" t="s">
        <v>865</v>
      </c>
    </row>
    <row r="16" spans="2:5" ht="91.5" customHeight="1" x14ac:dyDescent="0.35">
      <c r="B16" s="103" t="s">
        <v>866</v>
      </c>
      <c r="C16" s="199" t="s">
        <v>1638</v>
      </c>
      <c r="D16" s="199"/>
      <c r="E16" s="104" t="s">
        <v>1219</v>
      </c>
    </row>
    <row r="17" spans="2:5" ht="91.5" customHeight="1" x14ac:dyDescent="0.35">
      <c r="B17" s="103" t="s">
        <v>867</v>
      </c>
      <c r="C17" s="194" t="s">
        <v>1742</v>
      </c>
      <c r="D17" s="194"/>
      <c r="E17" s="104" t="s">
        <v>1220</v>
      </c>
    </row>
    <row r="18" spans="2:5" ht="91.5" customHeight="1" x14ac:dyDescent="0.35">
      <c r="B18" s="103" t="s">
        <v>868</v>
      </c>
      <c r="C18" s="194" t="s">
        <v>1743</v>
      </c>
      <c r="D18" s="194"/>
      <c r="E18" s="104" t="s">
        <v>1221</v>
      </c>
    </row>
    <row r="19" spans="2:5" ht="91.5" customHeight="1" x14ac:dyDescent="0.35">
      <c r="B19" s="103" t="s">
        <v>1222</v>
      </c>
      <c r="C19" s="194" t="s">
        <v>1744</v>
      </c>
      <c r="D19" s="194"/>
      <c r="E19" s="104" t="s">
        <v>1745</v>
      </c>
    </row>
    <row r="20" spans="2:5" ht="91.5" customHeight="1" x14ac:dyDescent="0.35">
      <c r="B20" s="103" t="s">
        <v>869</v>
      </c>
      <c r="C20" s="194" t="s">
        <v>1223</v>
      </c>
      <c r="D20" s="194"/>
      <c r="E20" s="104" t="s">
        <v>1224</v>
      </c>
    </row>
    <row r="22" spans="2:5" ht="15" customHeight="1" x14ac:dyDescent="0.35">
      <c r="B22" s="196" t="s">
        <v>1225</v>
      </c>
      <c r="C22" s="196"/>
      <c r="D22" s="196"/>
      <c r="E22" s="196"/>
    </row>
    <row r="23" spans="2:5" ht="15" customHeight="1" x14ac:dyDescent="0.35">
      <c r="B23" s="9" t="s">
        <v>81</v>
      </c>
      <c r="C23" s="197" t="s">
        <v>1226</v>
      </c>
      <c r="D23" s="197"/>
      <c r="E23" s="9" t="s">
        <v>1227</v>
      </c>
    </row>
    <row r="24" spans="2:5" ht="48" customHeight="1" x14ac:dyDescent="0.35">
      <c r="B24" s="103" t="s">
        <v>113</v>
      </c>
      <c r="C24" s="194" t="s">
        <v>1228</v>
      </c>
      <c r="D24" s="194"/>
      <c r="E24" s="104" t="s">
        <v>1229</v>
      </c>
    </row>
    <row r="25" spans="2:5" ht="48" customHeight="1" x14ac:dyDescent="0.35">
      <c r="B25" s="103" t="s">
        <v>116</v>
      </c>
      <c r="C25" s="194" t="s">
        <v>1230</v>
      </c>
      <c r="D25" s="194"/>
      <c r="E25" s="104" t="s">
        <v>1231</v>
      </c>
    </row>
    <row r="26" spans="2:5" ht="48" customHeight="1" x14ac:dyDescent="0.35">
      <c r="B26" s="103" t="s">
        <v>119</v>
      </c>
      <c r="C26" s="194" t="s">
        <v>1232</v>
      </c>
      <c r="D26" s="194"/>
      <c r="E26" s="104" t="s">
        <v>1233</v>
      </c>
    </row>
    <row r="27" spans="2:5" ht="48" customHeight="1" x14ac:dyDescent="0.35">
      <c r="B27" s="103" t="s">
        <v>1234</v>
      </c>
      <c r="C27" s="194" t="s">
        <v>1639</v>
      </c>
      <c r="D27" s="194"/>
      <c r="E27" s="104" t="s">
        <v>1422</v>
      </c>
    </row>
    <row r="28" spans="2:5" ht="48" customHeight="1" x14ac:dyDescent="0.35">
      <c r="B28" s="103" t="s">
        <v>124</v>
      </c>
      <c r="C28" s="194" t="s">
        <v>1640</v>
      </c>
      <c r="D28" s="194"/>
      <c r="E28" s="104" t="s">
        <v>1235</v>
      </c>
    </row>
    <row r="30" spans="2:5" ht="15" customHeight="1" x14ac:dyDescent="0.35">
      <c r="B30" s="195" t="s">
        <v>1236</v>
      </c>
      <c r="C30" s="195"/>
      <c r="D30" s="195"/>
      <c r="E30" s="195"/>
    </row>
    <row r="31" spans="2:5" ht="84" customHeight="1" x14ac:dyDescent="0.35">
      <c r="B31" s="193" t="s">
        <v>1746</v>
      </c>
      <c r="C31" s="193"/>
      <c r="D31" s="193"/>
      <c r="E31" s="193"/>
    </row>
    <row r="33" spans="2:5" ht="15" customHeight="1" x14ac:dyDescent="0.35">
      <c r="B33" s="192" t="s">
        <v>1237</v>
      </c>
      <c r="C33" s="192"/>
      <c r="D33" s="192"/>
      <c r="E33" s="192"/>
    </row>
    <row r="34" spans="2:5" ht="51.75" customHeight="1" x14ac:dyDescent="0.35">
      <c r="B34" s="193" t="s">
        <v>1500</v>
      </c>
      <c r="C34" s="193"/>
      <c r="D34" s="193"/>
      <c r="E34" s="193"/>
    </row>
  </sheetData>
  <mergeCells count="22">
    <mergeCell ref="B2:E2"/>
    <mergeCell ref="B3:E3"/>
    <mergeCell ref="B5:E5"/>
    <mergeCell ref="B13:E13"/>
    <mergeCell ref="B14:E14"/>
    <mergeCell ref="C15:D15"/>
    <mergeCell ref="C16:D16"/>
    <mergeCell ref="C17:D17"/>
    <mergeCell ref="C18:D18"/>
    <mergeCell ref="C19:D19"/>
    <mergeCell ref="C20:D20"/>
    <mergeCell ref="B22:E22"/>
    <mergeCell ref="C23:D23"/>
    <mergeCell ref="C24:D24"/>
    <mergeCell ref="C25:D25"/>
    <mergeCell ref="B33:E33"/>
    <mergeCell ref="B34:E34"/>
    <mergeCell ref="C26:D26"/>
    <mergeCell ref="C27:D27"/>
    <mergeCell ref="C28:D28"/>
    <mergeCell ref="B30:E30"/>
    <mergeCell ref="B31:E31"/>
  </mergeCells>
  <pageMargins left="0.75" right="0.75" top="1" bottom="1" header="0.511811023622047" footer="0.511811023622047"/>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7030A0"/>
  </sheetPr>
  <dimension ref="B2:G33"/>
  <sheetViews>
    <sheetView showGridLines="0" zoomScale="77" zoomScaleNormal="77" workbookViewId="0">
      <pane xSplit="1" ySplit="5" topLeftCell="B6" activePane="bottomRight" state="frozen"/>
      <selection pane="topRight" activeCell="B1" sqref="B1"/>
      <selection pane="bottomLeft" activeCell="A6" sqref="A6"/>
      <selection pane="bottomRight" activeCell="C9" sqref="A1:XFD1048576"/>
    </sheetView>
  </sheetViews>
  <sheetFormatPr defaultColWidth="8.453125" defaultRowHeight="14.5" x14ac:dyDescent="0.35"/>
  <cols>
    <col min="1" max="1" width="2" style="3" customWidth="1"/>
    <col min="2" max="2" width="20" style="3" customWidth="1"/>
    <col min="3" max="3" width="38" style="3" customWidth="1"/>
    <col min="4" max="6" width="34" style="3" customWidth="1"/>
    <col min="7" max="7" width="30" style="3" customWidth="1"/>
    <col min="8" max="16384" width="8.453125" style="3"/>
  </cols>
  <sheetData>
    <row r="2" spans="2:7" ht="25.5" customHeight="1" x14ac:dyDescent="0.35">
      <c r="B2" s="145" t="s">
        <v>1747</v>
      </c>
      <c r="C2" s="145"/>
      <c r="D2" s="145"/>
      <c r="E2" s="145"/>
      <c r="F2" s="145"/>
      <c r="G2" s="145"/>
    </row>
    <row r="3" spans="2:7" ht="28.5" customHeight="1" x14ac:dyDescent="0.35">
      <c r="B3" s="206" t="s">
        <v>1641</v>
      </c>
      <c r="C3" s="206"/>
      <c r="D3" s="206"/>
      <c r="E3" s="206"/>
      <c r="F3" s="206"/>
      <c r="G3" s="206"/>
    </row>
    <row r="5" spans="2:7" ht="19.5" customHeight="1" x14ac:dyDescent="0.35">
      <c r="B5" s="9" t="s">
        <v>81</v>
      </c>
      <c r="C5" s="9" t="s">
        <v>870</v>
      </c>
      <c r="D5" s="9" t="s">
        <v>76</v>
      </c>
      <c r="E5" s="9" t="s">
        <v>871</v>
      </c>
      <c r="F5" s="9" t="s">
        <v>872</v>
      </c>
      <c r="G5" s="9" t="s">
        <v>873</v>
      </c>
    </row>
    <row r="6" spans="2:7" ht="36" customHeight="1" x14ac:dyDescent="0.35">
      <c r="B6" s="203" t="s">
        <v>113</v>
      </c>
      <c r="C6" s="84" t="s">
        <v>874</v>
      </c>
      <c r="D6" s="105" t="s">
        <v>875</v>
      </c>
      <c r="E6" s="106" t="s">
        <v>876</v>
      </c>
      <c r="F6" s="107" t="s">
        <v>877</v>
      </c>
      <c r="G6" s="104" t="s">
        <v>878</v>
      </c>
    </row>
    <row r="7" spans="2:7" ht="36" customHeight="1" x14ac:dyDescent="0.35">
      <c r="B7" s="203"/>
      <c r="C7" s="84" t="s">
        <v>879</v>
      </c>
      <c r="D7" s="105" t="s">
        <v>880</v>
      </c>
      <c r="E7" s="106" t="s">
        <v>881</v>
      </c>
      <c r="F7" s="107" t="s">
        <v>882</v>
      </c>
      <c r="G7" s="104" t="s">
        <v>878</v>
      </c>
    </row>
    <row r="8" spans="2:7" ht="36" customHeight="1" x14ac:dyDescent="0.35">
      <c r="B8" s="203"/>
      <c r="C8" s="84" t="s">
        <v>883</v>
      </c>
      <c r="D8" s="105" t="s">
        <v>884</v>
      </c>
      <c r="E8" s="106" t="s">
        <v>1423</v>
      </c>
      <c r="F8" s="107" t="s">
        <v>885</v>
      </c>
      <c r="G8" s="104" t="s">
        <v>878</v>
      </c>
    </row>
    <row r="9" spans="2:7" ht="36" customHeight="1" x14ac:dyDescent="0.35">
      <c r="B9" s="203"/>
      <c r="C9" s="84" t="s">
        <v>1424</v>
      </c>
      <c r="D9" s="105" t="s">
        <v>886</v>
      </c>
      <c r="E9" s="106" t="s">
        <v>887</v>
      </c>
      <c r="F9" s="107" t="s">
        <v>888</v>
      </c>
      <c r="G9" s="104" t="s">
        <v>878</v>
      </c>
    </row>
    <row r="10" spans="2:7" ht="36" customHeight="1" x14ac:dyDescent="0.35">
      <c r="B10" s="203" t="s">
        <v>116</v>
      </c>
      <c r="C10" s="84" t="s">
        <v>889</v>
      </c>
      <c r="D10" s="105" t="s">
        <v>890</v>
      </c>
      <c r="E10" s="106" t="s">
        <v>1751</v>
      </c>
      <c r="F10" s="107" t="s">
        <v>891</v>
      </c>
      <c r="G10" s="104" t="s">
        <v>892</v>
      </c>
    </row>
    <row r="11" spans="2:7" ht="36" customHeight="1" x14ac:dyDescent="0.35">
      <c r="B11" s="203"/>
      <c r="C11" s="84" t="s">
        <v>893</v>
      </c>
      <c r="D11" s="105" t="s">
        <v>894</v>
      </c>
      <c r="E11" s="106" t="s">
        <v>895</v>
      </c>
      <c r="F11" s="107" t="s">
        <v>896</v>
      </c>
      <c r="G11" s="104" t="s">
        <v>897</v>
      </c>
    </row>
    <row r="12" spans="2:7" ht="36" customHeight="1" x14ac:dyDescent="0.35">
      <c r="B12" s="203"/>
      <c r="C12" s="84" t="s">
        <v>898</v>
      </c>
      <c r="D12" s="105" t="s">
        <v>899</v>
      </c>
      <c r="E12" s="106" t="s">
        <v>900</v>
      </c>
      <c r="F12" s="108" t="s">
        <v>1241</v>
      </c>
      <c r="G12" s="104" t="s">
        <v>901</v>
      </c>
    </row>
    <row r="13" spans="2:7" ht="36" customHeight="1" x14ac:dyDescent="0.35">
      <c r="B13" s="203"/>
      <c r="C13" s="84" t="s">
        <v>902</v>
      </c>
      <c r="D13" s="105" t="s">
        <v>903</v>
      </c>
      <c r="E13" s="106" t="s">
        <v>904</v>
      </c>
      <c r="F13" s="107" t="s">
        <v>905</v>
      </c>
      <c r="G13" s="104" t="s">
        <v>906</v>
      </c>
    </row>
    <row r="14" spans="2:7" ht="36" customHeight="1" x14ac:dyDescent="0.35">
      <c r="B14" s="203"/>
      <c r="C14" s="84" t="s">
        <v>907</v>
      </c>
      <c r="D14" s="105" t="s">
        <v>908</v>
      </c>
      <c r="E14" s="106" t="s">
        <v>909</v>
      </c>
      <c r="F14" s="107" t="s">
        <v>910</v>
      </c>
      <c r="G14" s="104" t="s">
        <v>878</v>
      </c>
    </row>
    <row r="15" spans="2:7" ht="36" customHeight="1" x14ac:dyDescent="0.35">
      <c r="B15" s="203"/>
      <c r="C15" s="84" t="s">
        <v>911</v>
      </c>
      <c r="D15" s="105" t="s">
        <v>912</v>
      </c>
      <c r="E15" s="106" t="s">
        <v>913</v>
      </c>
      <c r="F15" s="107" t="s">
        <v>914</v>
      </c>
      <c r="G15" s="104" t="s">
        <v>878</v>
      </c>
    </row>
    <row r="16" spans="2:7" ht="36" customHeight="1" x14ac:dyDescent="0.35">
      <c r="B16" s="203"/>
      <c r="C16" s="84" t="s">
        <v>1752</v>
      </c>
      <c r="D16" s="105" t="s">
        <v>915</v>
      </c>
      <c r="E16" s="106" t="s">
        <v>916</v>
      </c>
      <c r="F16" s="107" t="s">
        <v>917</v>
      </c>
      <c r="G16" s="104" t="s">
        <v>918</v>
      </c>
    </row>
    <row r="17" spans="2:7" ht="36" customHeight="1" x14ac:dyDescent="0.35">
      <c r="B17" s="203" t="s">
        <v>119</v>
      </c>
      <c r="C17" s="84" t="s">
        <v>919</v>
      </c>
      <c r="D17" s="105" t="s">
        <v>920</v>
      </c>
      <c r="E17" s="106" t="s">
        <v>921</v>
      </c>
      <c r="F17" s="107" t="s">
        <v>922</v>
      </c>
      <c r="G17" s="104" t="s">
        <v>878</v>
      </c>
    </row>
    <row r="18" spans="2:7" ht="36" customHeight="1" x14ac:dyDescent="0.35">
      <c r="B18" s="203"/>
      <c r="C18" s="84" t="s">
        <v>923</v>
      </c>
      <c r="D18" s="105" t="s">
        <v>924</v>
      </c>
      <c r="E18" s="106" t="s">
        <v>925</v>
      </c>
      <c r="F18" s="107" t="s">
        <v>926</v>
      </c>
      <c r="G18" s="104" t="s">
        <v>878</v>
      </c>
    </row>
    <row r="19" spans="2:7" ht="36" customHeight="1" x14ac:dyDescent="0.35">
      <c r="B19" s="203"/>
      <c r="C19" s="84" t="s">
        <v>927</v>
      </c>
      <c r="D19" s="105" t="s">
        <v>928</v>
      </c>
      <c r="E19" s="106" t="s">
        <v>881</v>
      </c>
      <c r="F19" s="107" t="s">
        <v>929</v>
      </c>
      <c r="G19" s="104" t="s">
        <v>878</v>
      </c>
    </row>
    <row r="20" spans="2:7" ht="36" customHeight="1" x14ac:dyDescent="0.35">
      <c r="B20" s="203"/>
      <c r="C20" s="84" t="s">
        <v>930</v>
      </c>
      <c r="D20" s="105" t="s">
        <v>931</v>
      </c>
      <c r="E20" s="106" t="s">
        <v>925</v>
      </c>
      <c r="F20" s="107" t="s">
        <v>932</v>
      </c>
      <c r="G20" s="104" t="s">
        <v>878</v>
      </c>
    </row>
    <row r="21" spans="2:7" ht="36" customHeight="1" x14ac:dyDescent="0.35">
      <c r="B21" s="203" t="s">
        <v>1238</v>
      </c>
      <c r="C21" s="84" t="s">
        <v>933</v>
      </c>
      <c r="D21" s="105" t="s">
        <v>1239</v>
      </c>
      <c r="E21" s="106" t="s">
        <v>934</v>
      </c>
      <c r="F21" s="107" t="s">
        <v>1240</v>
      </c>
      <c r="G21" s="104" t="s">
        <v>1748</v>
      </c>
    </row>
    <row r="22" spans="2:7" ht="36" customHeight="1" x14ac:dyDescent="0.35">
      <c r="B22" s="203"/>
      <c r="C22" s="84" t="s">
        <v>935</v>
      </c>
      <c r="D22" s="105" t="s">
        <v>1758</v>
      </c>
      <c r="E22" s="106" t="s">
        <v>936</v>
      </c>
      <c r="F22" s="107" t="s">
        <v>937</v>
      </c>
      <c r="G22" s="104" t="s">
        <v>938</v>
      </c>
    </row>
    <row r="23" spans="2:7" ht="36" customHeight="1" x14ac:dyDescent="0.35">
      <c r="B23" s="203"/>
      <c r="C23" s="84" t="s">
        <v>939</v>
      </c>
      <c r="D23" s="105" t="s">
        <v>940</v>
      </c>
      <c r="E23" s="106" t="s">
        <v>941</v>
      </c>
      <c r="F23" s="107" t="s">
        <v>942</v>
      </c>
      <c r="G23" s="104" t="s">
        <v>943</v>
      </c>
    </row>
    <row r="24" spans="2:7" ht="63.75" customHeight="1" x14ac:dyDescent="0.35">
      <c r="B24" s="203"/>
      <c r="C24" s="84" t="s">
        <v>1759</v>
      </c>
      <c r="D24" s="105" t="s">
        <v>1749</v>
      </c>
      <c r="E24" s="106" t="s">
        <v>1425</v>
      </c>
      <c r="F24" s="107" t="s">
        <v>1750</v>
      </c>
      <c r="G24" s="104" t="s">
        <v>944</v>
      </c>
    </row>
    <row r="25" spans="2:7" ht="36" customHeight="1" x14ac:dyDescent="0.35">
      <c r="B25" s="203"/>
      <c r="C25" s="84" t="s">
        <v>945</v>
      </c>
      <c r="D25" s="105" t="s">
        <v>1426</v>
      </c>
      <c r="E25" s="106" t="s">
        <v>1242</v>
      </c>
      <c r="F25" s="107" t="s">
        <v>1427</v>
      </c>
      <c r="G25" s="104" t="s">
        <v>946</v>
      </c>
    </row>
    <row r="26" spans="2:7" ht="36" customHeight="1" x14ac:dyDescent="0.35">
      <c r="B26" s="204" t="s">
        <v>124</v>
      </c>
      <c r="C26" s="84" t="s">
        <v>1428</v>
      </c>
      <c r="D26" s="105" t="s">
        <v>1429</v>
      </c>
      <c r="E26" s="106" t="s">
        <v>1430</v>
      </c>
      <c r="F26" s="107" t="s">
        <v>1431</v>
      </c>
      <c r="G26" s="104" t="s">
        <v>947</v>
      </c>
    </row>
    <row r="27" spans="2:7" ht="36" customHeight="1" x14ac:dyDescent="0.35">
      <c r="B27" s="204"/>
      <c r="C27" s="84" t="s">
        <v>948</v>
      </c>
      <c r="D27" s="105" t="s">
        <v>949</v>
      </c>
      <c r="E27" s="106" t="s">
        <v>950</v>
      </c>
      <c r="F27" s="107" t="s">
        <v>951</v>
      </c>
      <c r="G27" s="104" t="s">
        <v>952</v>
      </c>
    </row>
    <row r="28" spans="2:7" ht="36" customHeight="1" x14ac:dyDescent="0.35">
      <c r="B28" s="204"/>
      <c r="C28" s="84" t="s">
        <v>953</v>
      </c>
      <c r="D28" s="105" t="s">
        <v>1432</v>
      </c>
      <c r="E28" s="106" t="s">
        <v>954</v>
      </c>
      <c r="F28" s="107" t="s">
        <v>955</v>
      </c>
      <c r="G28" s="104" t="s">
        <v>956</v>
      </c>
    </row>
    <row r="29" spans="2:7" ht="36" customHeight="1" x14ac:dyDescent="0.35">
      <c r="B29" s="204"/>
      <c r="C29" s="84" t="s">
        <v>1433</v>
      </c>
      <c r="D29" s="105" t="s">
        <v>957</v>
      </c>
      <c r="E29" s="106" t="s">
        <v>958</v>
      </c>
      <c r="F29" s="107" t="s">
        <v>959</v>
      </c>
      <c r="G29" s="109" t="s">
        <v>960</v>
      </c>
    </row>
    <row r="30" spans="2:7" ht="36" customHeight="1" x14ac:dyDescent="0.35">
      <c r="B30" s="204"/>
      <c r="C30" s="84" t="s">
        <v>961</v>
      </c>
      <c r="D30" s="105" t="s">
        <v>962</v>
      </c>
      <c r="E30" s="106" t="s">
        <v>963</v>
      </c>
      <c r="F30" s="107" t="s">
        <v>964</v>
      </c>
      <c r="G30" s="104" t="s">
        <v>947</v>
      </c>
    </row>
    <row r="31" spans="2:7" ht="36" customHeight="1" x14ac:dyDescent="0.35">
      <c r="B31" s="204"/>
      <c r="C31" s="84" t="s">
        <v>965</v>
      </c>
      <c r="D31" s="105" t="s">
        <v>966</v>
      </c>
      <c r="E31" s="106" t="s">
        <v>967</v>
      </c>
      <c r="F31" s="107" t="s">
        <v>968</v>
      </c>
      <c r="G31" s="104" t="s">
        <v>969</v>
      </c>
    </row>
    <row r="33" spans="2:7" ht="55.5" customHeight="1" x14ac:dyDescent="0.35">
      <c r="B33" s="205" t="s">
        <v>1466</v>
      </c>
      <c r="C33" s="205"/>
      <c r="D33" s="205"/>
      <c r="E33" s="205"/>
      <c r="F33" s="205"/>
      <c r="G33" s="205"/>
    </row>
  </sheetData>
  <mergeCells count="8">
    <mergeCell ref="B21:B25"/>
    <mergeCell ref="B26:B31"/>
    <mergeCell ref="B33:G33"/>
    <mergeCell ref="B2:G2"/>
    <mergeCell ref="B3:G3"/>
    <mergeCell ref="B6:B9"/>
    <mergeCell ref="B10:B16"/>
    <mergeCell ref="B17:B20"/>
  </mergeCells>
  <pageMargins left="0.75" right="0.75" top="1" bottom="1" header="0.511811023622047" footer="0.511811023622047"/>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7030A0"/>
  </sheetPr>
  <dimension ref="B2:D74"/>
  <sheetViews>
    <sheetView showGridLines="0" zoomScale="90" zoomScaleNormal="90" workbookViewId="0">
      <pane ySplit="4" topLeftCell="A20" activePane="bottomLeft" state="frozen"/>
      <selection pane="bottomLeft" activeCell="D27" sqref="D27"/>
    </sheetView>
  </sheetViews>
  <sheetFormatPr defaultColWidth="10.90625" defaultRowHeight="14.5" x14ac:dyDescent="0.35"/>
  <cols>
    <col min="1" max="1" width="2.6328125" style="24" customWidth="1"/>
    <col min="2" max="2" width="17.453125" style="24" customWidth="1"/>
    <col min="3" max="3" width="50" style="24" customWidth="1"/>
    <col min="4" max="4" width="73" style="24" customWidth="1"/>
    <col min="5" max="16384" width="10.90625" style="24"/>
  </cols>
  <sheetData>
    <row r="2" spans="2:4" ht="18" customHeight="1" x14ac:dyDescent="0.35">
      <c r="B2" s="208" t="s">
        <v>1243</v>
      </c>
      <c r="C2" s="208"/>
      <c r="D2" s="208"/>
    </row>
    <row r="4" spans="2:4" ht="14.25" customHeight="1" x14ac:dyDescent="0.35">
      <c r="B4" s="110" t="s">
        <v>970</v>
      </c>
      <c r="C4" s="110" t="s">
        <v>971</v>
      </c>
      <c r="D4" s="110" t="s">
        <v>35</v>
      </c>
    </row>
    <row r="5" spans="2:4" ht="15" customHeight="1" x14ac:dyDescent="0.35">
      <c r="B5" s="207" t="s">
        <v>972</v>
      </c>
      <c r="C5" s="207"/>
      <c r="D5" s="207"/>
    </row>
    <row r="6" spans="2:4" ht="24" customHeight="1" x14ac:dyDescent="0.35">
      <c r="B6" s="111" t="s">
        <v>973</v>
      </c>
      <c r="C6" s="28" t="s">
        <v>974</v>
      </c>
      <c r="D6" s="28" t="s">
        <v>975</v>
      </c>
    </row>
    <row r="7" spans="2:4" ht="15" customHeight="1" x14ac:dyDescent="0.35">
      <c r="B7" s="111" t="s">
        <v>976</v>
      </c>
      <c r="C7" s="28" t="s">
        <v>977</v>
      </c>
      <c r="D7" s="28" t="s">
        <v>978</v>
      </c>
    </row>
    <row r="8" spans="2:4" ht="15" customHeight="1" x14ac:dyDescent="0.35">
      <c r="B8" s="111" t="s">
        <v>979</v>
      </c>
      <c r="C8" s="28" t="s">
        <v>980</v>
      </c>
      <c r="D8" s="28" t="s">
        <v>1642</v>
      </c>
    </row>
    <row r="9" spans="2:4" ht="15" customHeight="1" x14ac:dyDescent="0.35">
      <c r="B9" s="111" t="s">
        <v>981</v>
      </c>
      <c r="C9" s="28" t="s">
        <v>982</v>
      </c>
      <c r="D9" s="28" t="s">
        <v>983</v>
      </c>
    </row>
    <row r="10" spans="2:4" ht="15" customHeight="1" x14ac:dyDescent="0.35">
      <c r="B10" s="111" t="s">
        <v>984</v>
      </c>
      <c r="C10" s="28" t="s">
        <v>985</v>
      </c>
      <c r="D10" s="28" t="s">
        <v>1434</v>
      </c>
    </row>
    <row r="11" spans="2:4" ht="15" customHeight="1" x14ac:dyDescent="0.35">
      <c r="B11" s="111" t="s">
        <v>986</v>
      </c>
      <c r="C11" s="28" t="s">
        <v>987</v>
      </c>
      <c r="D11" s="28" t="s">
        <v>1244</v>
      </c>
    </row>
    <row r="12" spans="2:4" ht="15" customHeight="1" x14ac:dyDescent="0.35">
      <c r="B12" s="111" t="s">
        <v>988</v>
      </c>
      <c r="C12" s="28" t="s">
        <v>1643</v>
      </c>
      <c r="D12" s="28" t="s">
        <v>989</v>
      </c>
    </row>
    <row r="13" spans="2:4" ht="15" customHeight="1" x14ac:dyDescent="0.35">
      <c r="B13" s="111" t="s">
        <v>990</v>
      </c>
      <c r="C13" s="28" t="s">
        <v>991</v>
      </c>
      <c r="D13" s="28" t="s">
        <v>1467</v>
      </c>
    </row>
    <row r="14" spans="2:4" ht="15" customHeight="1" x14ac:dyDescent="0.35">
      <c r="B14" s="111" t="s">
        <v>992</v>
      </c>
      <c r="C14" s="28" t="s">
        <v>993</v>
      </c>
      <c r="D14" s="28" t="s">
        <v>994</v>
      </c>
    </row>
    <row r="15" spans="2:4" ht="15" customHeight="1" x14ac:dyDescent="0.35">
      <c r="B15" s="111" t="s">
        <v>995</v>
      </c>
      <c r="C15" s="28" t="s">
        <v>996</v>
      </c>
      <c r="D15" s="28" t="s">
        <v>1435</v>
      </c>
    </row>
    <row r="16" spans="2:4" ht="15" customHeight="1" x14ac:dyDescent="0.35">
      <c r="B16" s="111" t="s">
        <v>997</v>
      </c>
      <c r="C16" s="28" t="s">
        <v>998</v>
      </c>
      <c r="D16" s="28" t="s">
        <v>999</v>
      </c>
    </row>
    <row r="17" spans="2:4" ht="15" customHeight="1" x14ac:dyDescent="0.35">
      <c r="B17" s="111" t="s">
        <v>1000</v>
      </c>
      <c r="C17" s="28" t="s">
        <v>1001</v>
      </c>
      <c r="D17" s="28" t="s">
        <v>1002</v>
      </c>
    </row>
    <row r="18" spans="2:4" ht="15" customHeight="1" x14ac:dyDescent="0.35">
      <c r="B18" s="111" t="s">
        <v>1003</v>
      </c>
      <c r="C18" s="28" t="s">
        <v>1004</v>
      </c>
      <c r="D18" s="28" t="s">
        <v>1436</v>
      </c>
    </row>
    <row r="19" spans="2:4" ht="15" customHeight="1" x14ac:dyDescent="0.35">
      <c r="B19" s="111" t="s">
        <v>1005</v>
      </c>
      <c r="C19" s="28" t="s">
        <v>1006</v>
      </c>
      <c r="D19" s="28" t="s">
        <v>1007</v>
      </c>
    </row>
    <row r="20" spans="2:4" ht="15" customHeight="1" x14ac:dyDescent="0.35">
      <c r="B20" s="111" t="s">
        <v>1008</v>
      </c>
      <c r="C20" s="28" t="s">
        <v>1009</v>
      </c>
      <c r="D20" s="28" t="s">
        <v>1010</v>
      </c>
    </row>
    <row r="21" spans="2:4" ht="15" customHeight="1" x14ac:dyDescent="0.35">
      <c r="B21" s="111" t="s">
        <v>1011</v>
      </c>
      <c r="C21" s="28" t="s">
        <v>1012</v>
      </c>
      <c r="D21" s="28" t="s">
        <v>1437</v>
      </c>
    </row>
    <row r="22" spans="2:4" ht="15" customHeight="1" x14ac:dyDescent="0.35">
      <c r="B22" s="111" t="s">
        <v>1013</v>
      </c>
      <c r="C22" s="28" t="s">
        <v>1014</v>
      </c>
      <c r="D22" s="28" t="s">
        <v>1015</v>
      </c>
    </row>
    <row r="23" spans="2:4" ht="15" customHeight="1" x14ac:dyDescent="0.35">
      <c r="B23" s="111" t="s">
        <v>1016</v>
      </c>
      <c r="C23" s="28" t="s">
        <v>1017</v>
      </c>
      <c r="D23" s="28" t="s">
        <v>1018</v>
      </c>
    </row>
    <row r="24" spans="2:4" ht="15" customHeight="1" x14ac:dyDescent="0.35">
      <c r="B24" s="111" t="s">
        <v>1019</v>
      </c>
      <c r="C24" s="28" t="s">
        <v>1020</v>
      </c>
      <c r="D24" s="28" t="s">
        <v>1438</v>
      </c>
    </row>
    <row r="25" spans="2:4" ht="15" customHeight="1" x14ac:dyDescent="0.35">
      <c r="B25" s="111" t="s">
        <v>1021</v>
      </c>
      <c r="C25" s="28" t="s">
        <v>1022</v>
      </c>
      <c r="D25" s="28" t="s">
        <v>1023</v>
      </c>
    </row>
    <row r="26" spans="2:4" ht="15" customHeight="1" x14ac:dyDescent="0.35">
      <c r="B26" s="111" t="s">
        <v>1024</v>
      </c>
      <c r="C26" s="28" t="s">
        <v>1644</v>
      </c>
      <c r="D26" s="28" t="s">
        <v>1025</v>
      </c>
    </row>
    <row r="27" spans="2:4" ht="15" customHeight="1" x14ac:dyDescent="0.35">
      <c r="B27" s="111" t="s">
        <v>1026</v>
      </c>
      <c r="C27" s="28" t="s">
        <v>1027</v>
      </c>
      <c r="D27" s="28" t="s">
        <v>1028</v>
      </c>
    </row>
    <row r="28" spans="2:4" ht="15" customHeight="1" x14ac:dyDescent="0.35">
      <c r="B28" s="207" t="s">
        <v>1029</v>
      </c>
      <c r="C28" s="207"/>
      <c r="D28" s="207"/>
    </row>
    <row r="29" spans="2:4" ht="15" customHeight="1" x14ac:dyDescent="0.35">
      <c r="B29" s="111" t="s">
        <v>1030</v>
      </c>
      <c r="C29" s="28" t="s">
        <v>1031</v>
      </c>
      <c r="D29" s="28" t="s">
        <v>1032</v>
      </c>
    </row>
    <row r="30" spans="2:4" ht="15" customHeight="1" x14ac:dyDescent="0.35">
      <c r="B30" s="111" t="s">
        <v>1033</v>
      </c>
      <c r="C30" s="28" t="s">
        <v>1034</v>
      </c>
      <c r="D30" s="28" t="s">
        <v>1035</v>
      </c>
    </row>
    <row r="31" spans="2:4" ht="15" customHeight="1" x14ac:dyDescent="0.35">
      <c r="B31" s="111" t="s">
        <v>1036</v>
      </c>
      <c r="C31" s="28" t="s">
        <v>1037</v>
      </c>
      <c r="D31" s="28" t="s">
        <v>1038</v>
      </c>
    </row>
    <row r="32" spans="2:4" ht="15" customHeight="1" x14ac:dyDescent="0.35">
      <c r="B32" s="111" t="s">
        <v>1468</v>
      </c>
      <c r="C32" s="28" t="s">
        <v>1039</v>
      </c>
      <c r="D32" s="28" t="s">
        <v>1245</v>
      </c>
    </row>
    <row r="33" spans="2:4" ht="15" customHeight="1" x14ac:dyDescent="0.35">
      <c r="B33" s="111" t="s">
        <v>1040</v>
      </c>
      <c r="C33" s="28" t="s">
        <v>1041</v>
      </c>
      <c r="D33" s="28" t="s">
        <v>1469</v>
      </c>
    </row>
    <row r="34" spans="2:4" ht="15" customHeight="1" x14ac:dyDescent="0.35">
      <c r="B34" s="111" t="s">
        <v>1042</v>
      </c>
      <c r="C34" s="28" t="s">
        <v>1043</v>
      </c>
      <c r="D34" s="28" t="s">
        <v>1044</v>
      </c>
    </row>
    <row r="35" spans="2:4" ht="15" customHeight="1" x14ac:dyDescent="0.35">
      <c r="B35" s="111" t="s">
        <v>1045</v>
      </c>
      <c r="C35" s="28" t="s">
        <v>1046</v>
      </c>
      <c r="D35" s="28" t="s">
        <v>1439</v>
      </c>
    </row>
    <row r="36" spans="2:4" ht="15" customHeight="1" x14ac:dyDescent="0.35">
      <c r="B36" s="207" t="s">
        <v>1047</v>
      </c>
      <c r="C36" s="207"/>
      <c r="D36" s="207"/>
    </row>
    <row r="37" spans="2:4" ht="15" customHeight="1" x14ac:dyDescent="0.35">
      <c r="B37" s="111" t="s">
        <v>1048</v>
      </c>
      <c r="C37" s="28" t="s">
        <v>1645</v>
      </c>
      <c r="D37" s="28" t="s">
        <v>1049</v>
      </c>
    </row>
    <row r="38" spans="2:4" ht="15" customHeight="1" x14ac:dyDescent="0.35">
      <c r="B38" s="111" t="s">
        <v>1050</v>
      </c>
      <c r="C38" s="28" t="s">
        <v>1051</v>
      </c>
      <c r="D38" s="28" t="s">
        <v>1052</v>
      </c>
    </row>
    <row r="39" spans="2:4" ht="15" customHeight="1" x14ac:dyDescent="0.35">
      <c r="B39" s="111" t="s">
        <v>1053</v>
      </c>
      <c r="C39" s="28" t="s">
        <v>1501</v>
      </c>
      <c r="D39" s="28" t="s">
        <v>1054</v>
      </c>
    </row>
    <row r="40" spans="2:4" ht="15" customHeight="1" x14ac:dyDescent="0.35">
      <c r="B40" s="111" t="s">
        <v>1055</v>
      </c>
      <c r="C40" s="28" t="s">
        <v>1056</v>
      </c>
      <c r="D40" s="28" t="s">
        <v>1057</v>
      </c>
    </row>
    <row r="41" spans="2:4" ht="15" customHeight="1" x14ac:dyDescent="0.35">
      <c r="B41" s="111" t="s">
        <v>1058</v>
      </c>
      <c r="C41" s="28" t="s">
        <v>1059</v>
      </c>
      <c r="D41" s="28" t="s">
        <v>1060</v>
      </c>
    </row>
    <row r="42" spans="2:4" ht="15" customHeight="1" x14ac:dyDescent="0.35">
      <c r="B42" s="111" t="s">
        <v>1061</v>
      </c>
      <c r="C42" s="28" t="s">
        <v>1062</v>
      </c>
      <c r="D42" s="28" t="s">
        <v>1757</v>
      </c>
    </row>
    <row r="43" spans="2:4" ht="15" customHeight="1" x14ac:dyDescent="0.35">
      <c r="B43" s="111" t="s">
        <v>1063</v>
      </c>
      <c r="C43" s="28" t="s">
        <v>1064</v>
      </c>
      <c r="D43" s="28" t="s">
        <v>1065</v>
      </c>
    </row>
    <row r="44" spans="2:4" ht="15" customHeight="1" x14ac:dyDescent="0.35">
      <c r="B44" s="111" t="s">
        <v>1066</v>
      </c>
      <c r="C44" s="28" t="s">
        <v>1754</v>
      </c>
      <c r="D44" s="28" t="s">
        <v>1067</v>
      </c>
    </row>
    <row r="45" spans="2:4" ht="15" customHeight="1" x14ac:dyDescent="0.35">
      <c r="B45" s="111" t="s">
        <v>1068</v>
      </c>
      <c r="C45" s="28" t="s">
        <v>1069</v>
      </c>
      <c r="D45" s="28" t="s">
        <v>1070</v>
      </c>
    </row>
    <row r="46" spans="2:4" ht="15" customHeight="1" x14ac:dyDescent="0.35">
      <c r="B46" s="111" t="s">
        <v>1071</v>
      </c>
      <c r="C46" s="28" t="s">
        <v>1072</v>
      </c>
      <c r="D46" s="28" t="s">
        <v>1440</v>
      </c>
    </row>
    <row r="47" spans="2:4" ht="15" customHeight="1" x14ac:dyDescent="0.35">
      <c r="B47" s="111" t="s">
        <v>1073</v>
      </c>
      <c r="C47" s="28" t="s">
        <v>1755</v>
      </c>
      <c r="D47" s="28" t="s">
        <v>1074</v>
      </c>
    </row>
    <row r="48" spans="2:4" ht="15" customHeight="1" x14ac:dyDescent="0.35">
      <c r="B48" s="111" t="s">
        <v>1075</v>
      </c>
      <c r="C48" s="28" t="s">
        <v>1076</v>
      </c>
      <c r="D48" s="28" t="s">
        <v>1756</v>
      </c>
    </row>
    <row r="49" spans="2:4" ht="15" customHeight="1" x14ac:dyDescent="0.35">
      <c r="B49" s="111" t="s">
        <v>1077</v>
      </c>
      <c r="C49" s="28" t="s">
        <v>1078</v>
      </c>
      <c r="D49" s="28" t="s">
        <v>1441</v>
      </c>
    </row>
    <row r="50" spans="2:4" ht="15" customHeight="1" x14ac:dyDescent="0.35">
      <c r="B50" s="111" t="s">
        <v>1079</v>
      </c>
      <c r="C50" s="28" t="s">
        <v>1442</v>
      </c>
      <c r="D50" s="28" t="s">
        <v>1443</v>
      </c>
    </row>
    <row r="51" spans="2:4" ht="15" customHeight="1" x14ac:dyDescent="0.35">
      <c r="B51" s="111" t="s">
        <v>1080</v>
      </c>
      <c r="C51" s="28" t="s">
        <v>1081</v>
      </c>
      <c r="D51" s="28" t="s">
        <v>1082</v>
      </c>
    </row>
    <row r="52" spans="2:4" ht="15" customHeight="1" x14ac:dyDescent="0.35">
      <c r="B52" s="111" t="s">
        <v>1083</v>
      </c>
      <c r="C52" s="28" t="s">
        <v>1084</v>
      </c>
      <c r="D52" s="28" t="s">
        <v>1085</v>
      </c>
    </row>
    <row r="53" spans="2:4" ht="15" customHeight="1" x14ac:dyDescent="0.35">
      <c r="B53" s="111" t="s">
        <v>1086</v>
      </c>
      <c r="C53" s="28" t="s">
        <v>1087</v>
      </c>
      <c r="D53" s="28" t="s">
        <v>1088</v>
      </c>
    </row>
    <row r="54" spans="2:4" ht="15" customHeight="1" x14ac:dyDescent="0.35">
      <c r="B54" s="207" t="s">
        <v>1089</v>
      </c>
      <c r="C54" s="207"/>
      <c r="D54" s="207"/>
    </row>
    <row r="55" spans="2:4" ht="15" customHeight="1" x14ac:dyDescent="0.35">
      <c r="B55" s="111" t="s">
        <v>1090</v>
      </c>
      <c r="C55" s="28" t="s">
        <v>1091</v>
      </c>
      <c r="D55" s="28" t="s">
        <v>1092</v>
      </c>
    </row>
    <row r="56" spans="2:4" ht="15" customHeight="1" x14ac:dyDescent="0.35">
      <c r="B56" s="111" t="s">
        <v>1093</v>
      </c>
      <c r="C56" s="28" t="s">
        <v>1094</v>
      </c>
      <c r="D56" s="28" t="s">
        <v>1095</v>
      </c>
    </row>
    <row r="57" spans="2:4" ht="15" customHeight="1" x14ac:dyDescent="0.35">
      <c r="B57" s="111" t="s">
        <v>1096</v>
      </c>
      <c r="C57" s="28" t="s">
        <v>1097</v>
      </c>
      <c r="D57" s="28" t="s">
        <v>1098</v>
      </c>
    </row>
    <row r="58" spans="2:4" ht="15" customHeight="1" x14ac:dyDescent="0.35">
      <c r="B58" s="111" t="s">
        <v>1099</v>
      </c>
      <c r="C58" s="28" t="s">
        <v>1100</v>
      </c>
      <c r="D58" s="28" t="s">
        <v>1246</v>
      </c>
    </row>
    <row r="59" spans="2:4" ht="15" customHeight="1" x14ac:dyDescent="0.35">
      <c r="B59" s="111" t="s">
        <v>1101</v>
      </c>
      <c r="C59" s="28" t="s">
        <v>1102</v>
      </c>
      <c r="D59" s="28" t="s">
        <v>1444</v>
      </c>
    </row>
    <row r="60" spans="2:4" ht="15" customHeight="1" x14ac:dyDescent="0.35">
      <c r="B60" s="111" t="s">
        <v>1103</v>
      </c>
      <c r="C60" s="28" t="s">
        <v>1104</v>
      </c>
      <c r="D60" s="28" t="s">
        <v>1247</v>
      </c>
    </row>
    <row r="61" spans="2:4" ht="15" customHeight="1" x14ac:dyDescent="0.35">
      <c r="B61" s="111" t="s">
        <v>1105</v>
      </c>
      <c r="C61" s="28" t="s">
        <v>1106</v>
      </c>
      <c r="D61" s="28" t="s">
        <v>1248</v>
      </c>
    </row>
    <row r="62" spans="2:4" ht="15" customHeight="1" x14ac:dyDescent="0.35">
      <c r="B62" s="207" t="s">
        <v>1445</v>
      </c>
      <c r="C62" s="207"/>
      <c r="D62" s="207"/>
    </row>
    <row r="63" spans="2:4" ht="15" customHeight="1" x14ac:dyDescent="0.35">
      <c r="B63" s="111" t="s">
        <v>1107</v>
      </c>
      <c r="C63" s="28" t="s">
        <v>1249</v>
      </c>
      <c r="D63" s="28" t="s">
        <v>1646</v>
      </c>
    </row>
    <row r="64" spans="2:4" ht="15" customHeight="1" x14ac:dyDescent="0.35">
      <c r="B64" s="111" t="s">
        <v>1108</v>
      </c>
      <c r="C64" s="28" t="s">
        <v>1753</v>
      </c>
      <c r="D64" s="28" t="s">
        <v>1109</v>
      </c>
    </row>
    <row r="65" spans="2:4" ht="15" customHeight="1" x14ac:dyDescent="0.35">
      <c r="B65" s="111" t="s">
        <v>1110</v>
      </c>
      <c r="C65" s="28" t="s">
        <v>1111</v>
      </c>
      <c r="D65" s="28" t="s">
        <v>1470</v>
      </c>
    </row>
    <row r="66" spans="2:4" ht="15" customHeight="1" x14ac:dyDescent="0.35">
      <c r="B66" s="111" t="s">
        <v>1112</v>
      </c>
      <c r="C66" s="28" t="s">
        <v>1113</v>
      </c>
      <c r="D66" s="28" t="s">
        <v>1446</v>
      </c>
    </row>
    <row r="67" spans="2:4" ht="15" customHeight="1" x14ac:dyDescent="0.35">
      <c r="B67" s="111" t="s">
        <v>1114</v>
      </c>
      <c r="C67" s="28" t="s">
        <v>1115</v>
      </c>
      <c r="D67" s="28" t="s">
        <v>1116</v>
      </c>
    </row>
    <row r="68" spans="2:4" ht="15" customHeight="1" x14ac:dyDescent="0.35">
      <c r="B68" s="111" t="s">
        <v>1117</v>
      </c>
      <c r="C68" s="28" t="s">
        <v>1118</v>
      </c>
      <c r="D68" s="28" t="s">
        <v>1119</v>
      </c>
    </row>
    <row r="69" spans="2:4" ht="15" customHeight="1" x14ac:dyDescent="0.35">
      <c r="B69" s="111" t="s">
        <v>1120</v>
      </c>
      <c r="C69" s="28" t="s">
        <v>1121</v>
      </c>
      <c r="D69" s="28" t="s">
        <v>1250</v>
      </c>
    </row>
    <row r="70" spans="2:4" ht="15" customHeight="1" x14ac:dyDescent="0.35">
      <c r="B70" s="111" t="s">
        <v>1122</v>
      </c>
      <c r="C70" s="28" t="s">
        <v>1123</v>
      </c>
      <c r="D70" s="28" t="s">
        <v>1251</v>
      </c>
    </row>
    <row r="71" spans="2:4" ht="15" customHeight="1" x14ac:dyDescent="0.35">
      <c r="B71" s="111" t="s">
        <v>1124</v>
      </c>
      <c r="C71" s="28" t="s">
        <v>1125</v>
      </c>
      <c r="D71" s="28" t="s">
        <v>1126</v>
      </c>
    </row>
    <row r="72" spans="2:4" ht="15" customHeight="1" x14ac:dyDescent="0.35">
      <c r="B72" s="111" t="s">
        <v>1127</v>
      </c>
      <c r="C72" s="28" t="s">
        <v>1128</v>
      </c>
      <c r="D72" s="28" t="s">
        <v>1129</v>
      </c>
    </row>
    <row r="73" spans="2:4" ht="15" customHeight="1" x14ac:dyDescent="0.35">
      <c r="B73" s="111" t="s">
        <v>1130</v>
      </c>
      <c r="C73" s="28" t="s">
        <v>1131</v>
      </c>
      <c r="D73" s="28" t="s">
        <v>1548</v>
      </c>
    </row>
    <row r="74" spans="2:4" ht="15" customHeight="1" x14ac:dyDescent="0.35">
      <c r="B74" s="111" t="s">
        <v>1132</v>
      </c>
      <c r="C74" s="28" t="s">
        <v>1133</v>
      </c>
      <c r="D74" s="28" t="s">
        <v>1134</v>
      </c>
    </row>
  </sheetData>
  <mergeCells count="6">
    <mergeCell ref="B62:D62"/>
    <mergeCell ref="B2:D2"/>
    <mergeCell ref="B5:D5"/>
    <mergeCell ref="B28:D28"/>
    <mergeCell ref="B36:D36"/>
    <mergeCell ref="B54:D54"/>
  </mergeCells>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Cover Page</vt:lpstr>
      <vt:lpstr>1. How to Use</vt:lpstr>
      <vt:lpstr>2. Archetype Profiles</vt:lpstr>
      <vt:lpstr>3. Tool 01A Quick-Screen</vt:lpstr>
      <vt:lpstr>4. Tool 01B DD Checklist</vt:lpstr>
      <vt:lpstr>5. Tool 02 Instrument Matrix</vt:lpstr>
      <vt:lpstr>6. Tool 03 Enterprise Feedback</vt:lpstr>
      <vt:lpstr>A. Screen Engine (Ref)</vt:lpstr>
      <vt:lpstr>B. Stage Criteria (Ref)</vt:lpstr>
      <vt:lpstr>C. Instrument Library (Ref)</vt:lpstr>
      <vt:lpstr>D. Feedback Library (Ref)</vt:lpstr>
      <vt:lpstr>E. Returns, Exits &amp; Failures</vt:lpstr>
      <vt:lpstr>F. Benchmarks (Ref)</vt:lpstr>
      <vt:lpstr>Glossary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Lilian Wambui Kuria</cp:lastModifiedBy>
  <cp:revision>0</cp:revision>
  <dcterms:created xsi:type="dcterms:W3CDTF">2026-07-07T13:47:45Z</dcterms:created>
  <dcterms:modified xsi:type="dcterms:W3CDTF">2026-10-06T09:47:01Z</dcterms:modified>
  <dc:language>en-US</dc:language>
</cp:coreProperties>
</file>